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jaee_s\Downloads\"/>
    </mc:Choice>
  </mc:AlternateContent>
  <bookViews>
    <workbookView xWindow="0" yWindow="0" windowWidth="20400" windowHeight="8445" tabRatio="845"/>
  </bookViews>
  <sheets>
    <sheet name="تحقیق" sheetId="8" r:id="rId1"/>
    <sheet name="ترتیل" sheetId="3" r:id="rId2"/>
    <sheet name="اذان" sheetId="19" r:id="rId3"/>
    <sheet name="دعاخوانی" sheetId="4" r:id="rId4"/>
    <sheet name="مداحی" sheetId="5" r:id="rId5"/>
    <sheet name="ترجمه خوانی" sheetId="10" r:id="rId6"/>
    <sheet name="سخنوری" sheetId="9" r:id="rId7"/>
    <sheet name="حفظ 1 جزء" sheetId="25" r:id="rId8"/>
    <sheet name="حفظ 3 جزء" sheetId="20" r:id="rId9"/>
    <sheet name="حفظ 5 جزء" sheetId="21" r:id="rId10"/>
    <sheet name="حفظ 10 جزء" sheetId="22" r:id="rId11"/>
    <sheet name="حفظ 20 جزء" sheetId="23" r:id="rId12"/>
    <sheet name="آیات منتخب" sheetId="26" r:id="rId13"/>
    <sheet name="حفظ کل" sheetId="24" r:id="rId14"/>
  </sheets>
  <definedNames>
    <definedName name="_xlnm._FilterDatabase" localSheetId="2" hidden="1">اذان!$A$1:$O$108</definedName>
    <definedName name="_xlnm._FilterDatabase" localSheetId="0" hidden="1">تحقیق!$B$1:$P$117</definedName>
    <definedName name="_xlnm._FilterDatabase" localSheetId="1" hidden="1">ترتیل!$A$1:$P$156</definedName>
    <definedName name="_xlnm._FilterDatabase" localSheetId="5" hidden="1">'ترجمه خوانی'!$A$1:$Q$41</definedName>
    <definedName name="_xlnm._FilterDatabase" localSheetId="7" hidden="1">'حفظ 1 جزء'!$D$1:$D$110</definedName>
    <definedName name="_xlnm._FilterDatabase" localSheetId="10" hidden="1">'حفظ 10 جزء'!$D$2:$D$68</definedName>
    <definedName name="_xlnm._FilterDatabase" localSheetId="11" hidden="1">'حفظ 20 جزء'!$D$1:$D$42</definedName>
    <definedName name="_xlnm._FilterDatabase" localSheetId="8" hidden="1">'حفظ 3 جزء'!$D$1:$D$183</definedName>
    <definedName name="_xlnm._FilterDatabase" localSheetId="9" hidden="1">'حفظ 5 جزء'!$D$2:$D$111</definedName>
    <definedName name="_xlnm._FilterDatabase" localSheetId="13" hidden="1">'حفظ کل'!$D$1:$D$35</definedName>
    <definedName name="_xlnm._FilterDatabase" localSheetId="3" hidden="1">دعاخوانی!$G$1:$G$86</definedName>
    <definedName name="_xlnm._FilterDatabase" localSheetId="6" hidden="1">سخنوری!$A$1:$P$52</definedName>
    <definedName name="_xlnm._FilterDatabase" localSheetId="4" hidden="1">مداحی!$A$1:$O$71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1" i="8" l="1"/>
  <c r="O31" i="22" l="1"/>
  <c r="P31" i="22"/>
  <c r="Q31" i="22"/>
  <c r="R31" i="22"/>
  <c r="S31" i="22"/>
  <c r="S32" i="22"/>
  <c r="S33" i="22"/>
  <c r="S34" i="22"/>
  <c r="T3" i="26"/>
  <c r="T4" i="26"/>
  <c r="T5" i="26"/>
  <c r="T6" i="26"/>
  <c r="T7" i="26"/>
  <c r="T8" i="26"/>
  <c r="T9" i="26"/>
  <c r="T10" i="26"/>
  <c r="T11" i="26"/>
  <c r="T12" i="26"/>
  <c r="T13" i="26"/>
  <c r="T2" i="26"/>
  <c r="S3" i="26"/>
  <c r="S4" i="26"/>
  <c r="S5" i="26"/>
  <c r="S6" i="26"/>
  <c r="S7" i="26"/>
  <c r="S8" i="26"/>
  <c r="S9" i="26"/>
  <c r="S10" i="26"/>
  <c r="S11" i="26"/>
  <c r="S12" i="26"/>
  <c r="S13" i="26"/>
  <c r="S2" i="26"/>
  <c r="R3" i="26"/>
  <c r="R4" i="26"/>
  <c r="R5" i="26"/>
  <c r="R6" i="26"/>
  <c r="R7" i="26"/>
  <c r="R8" i="26"/>
  <c r="R9" i="26"/>
  <c r="R10" i="26"/>
  <c r="R11" i="26"/>
  <c r="R12" i="26"/>
  <c r="R13" i="26"/>
  <c r="R2" i="26"/>
  <c r="Q3" i="26"/>
  <c r="Q4" i="26"/>
  <c r="Q5" i="26"/>
  <c r="Q6" i="26"/>
  <c r="Q7" i="26"/>
  <c r="Q8" i="26"/>
  <c r="Q9" i="26"/>
  <c r="Q10" i="26"/>
  <c r="Q11" i="26"/>
  <c r="Q12" i="26"/>
  <c r="Q13" i="26"/>
  <c r="Q2" i="26"/>
  <c r="P3" i="26"/>
  <c r="P4" i="26"/>
  <c r="P5" i="26"/>
  <c r="P6" i="26"/>
  <c r="P7" i="26"/>
  <c r="P8" i="26"/>
  <c r="P9" i="26"/>
  <c r="P10" i="26"/>
  <c r="P11" i="26"/>
  <c r="P12" i="26"/>
  <c r="P13" i="26"/>
  <c r="P2" i="26"/>
  <c r="N4" i="5"/>
  <c r="N2" i="5"/>
  <c r="N17" i="5"/>
  <c r="N18" i="5"/>
  <c r="N20" i="5"/>
  <c r="N10" i="5"/>
  <c r="N15" i="5"/>
  <c r="N8" i="5"/>
  <c r="N21" i="5"/>
  <c r="N11" i="5"/>
  <c r="N7" i="5"/>
  <c r="N12" i="5"/>
  <c r="N13" i="5"/>
  <c r="N19" i="5"/>
  <c r="N6" i="5"/>
  <c r="N14" i="5"/>
  <c r="N9" i="5"/>
  <c r="N5" i="5"/>
  <c r="N16" i="5"/>
  <c r="N32" i="5"/>
  <c r="N55" i="5"/>
  <c r="N67" i="5"/>
  <c r="N78" i="5"/>
  <c r="N34" i="5"/>
  <c r="N56" i="5"/>
  <c r="N52" i="5"/>
  <c r="N79" i="5"/>
  <c r="N70" i="5"/>
  <c r="N31" i="5"/>
  <c r="N77" i="5"/>
  <c r="N25" i="5"/>
  <c r="N65" i="5"/>
  <c r="N27" i="5"/>
  <c r="N43" i="5"/>
  <c r="N29" i="5"/>
  <c r="N46" i="5"/>
  <c r="N35" i="5"/>
  <c r="N44" i="5"/>
  <c r="N53" i="5"/>
  <c r="N49" i="5"/>
  <c r="N57" i="5"/>
  <c r="N60" i="5"/>
  <c r="N74" i="5"/>
  <c r="N72" i="5"/>
  <c r="N80" i="5"/>
  <c r="N33" i="5"/>
  <c r="N66" i="5"/>
  <c r="N68" i="5"/>
  <c r="N23" i="5"/>
  <c r="N22" i="5"/>
  <c r="N36" i="5"/>
  <c r="N81" i="5"/>
  <c r="N82" i="5"/>
  <c r="N50" i="5"/>
  <c r="N41" i="5"/>
  <c r="N38" i="5"/>
  <c r="N69" i="5"/>
  <c r="N42" i="5"/>
  <c r="N45" i="5"/>
  <c r="N37" i="5"/>
  <c r="N71" i="5"/>
  <c r="N47" i="5"/>
  <c r="N26" i="5"/>
  <c r="N73" i="5"/>
  <c r="N39" i="5"/>
  <c r="N51" i="5"/>
  <c r="N62" i="5"/>
  <c r="N63" i="5"/>
  <c r="N24" i="5"/>
  <c r="N64" i="5"/>
  <c r="N75" i="5"/>
  <c r="N54" i="5"/>
  <c r="N40" i="5"/>
  <c r="N83" i="5"/>
  <c r="N76" i="5"/>
  <c r="N28" i="5"/>
  <c r="N61" i="5"/>
  <c r="N48" i="5"/>
  <c r="N30" i="5"/>
  <c r="N58" i="5"/>
  <c r="N59" i="5"/>
  <c r="R14" i="24"/>
  <c r="S14" i="24" s="1"/>
  <c r="R17" i="24"/>
  <c r="S17" i="24" s="1"/>
  <c r="R20" i="24"/>
  <c r="S20" i="24" s="1"/>
  <c r="R18" i="24"/>
  <c r="S18" i="24" s="1"/>
  <c r="R12" i="24"/>
  <c r="R32" i="24"/>
  <c r="S32" i="24" s="1"/>
  <c r="R36" i="24"/>
  <c r="S36" i="24" s="1"/>
  <c r="Q6" i="24"/>
  <c r="Q3" i="24"/>
  <c r="Q2" i="24"/>
  <c r="Q4" i="24"/>
  <c r="Q8" i="24"/>
  <c r="Q7" i="24"/>
  <c r="Q9" i="24"/>
  <c r="Q13" i="24"/>
  <c r="Q14" i="24"/>
  <c r="Q10" i="24"/>
  <c r="Q17" i="24"/>
  <c r="Q20" i="24"/>
  <c r="Q18" i="24"/>
  <c r="Q19" i="24"/>
  <c r="Q11" i="24"/>
  <c r="Q16" i="24"/>
  <c r="S16" i="24" s="1"/>
  <c r="Q21" i="24"/>
  <c r="Q15" i="24"/>
  <c r="Q22" i="24"/>
  <c r="Q12" i="24"/>
  <c r="Q23" i="24"/>
  <c r="Q28" i="24"/>
  <c r="Q32" i="24"/>
  <c r="Q25" i="24"/>
  <c r="Q24" i="24"/>
  <c r="Q26" i="24"/>
  <c r="Q33" i="24"/>
  <c r="Q30" i="24"/>
  <c r="Q27" i="24"/>
  <c r="Q31" i="24"/>
  <c r="Q34" i="24"/>
  <c r="Q35" i="24"/>
  <c r="Q36" i="24"/>
  <c r="Q29" i="24"/>
  <c r="Q37" i="24"/>
  <c r="Q5" i="24"/>
  <c r="P5" i="24"/>
  <c r="O6" i="24"/>
  <c r="R6" i="24" s="1"/>
  <c r="O3" i="24"/>
  <c r="R3" i="24" s="1"/>
  <c r="O2" i="24"/>
  <c r="R2" i="24" s="1"/>
  <c r="O4" i="24"/>
  <c r="R4" i="24" s="1"/>
  <c r="O8" i="24"/>
  <c r="R8" i="24" s="1"/>
  <c r="O7" i="24"/>
  <c r="R7" i="24" s="1"/>
  <c r="O9" i="24"/>
  <c r="R9" i="24" s="1"/>
  <c r="O13" i="24"/>
  <c r="R13" i="24" s="1"/>
  <c r="O14" i="24"/>
  <c r="O10" i="24"/>
  <c r="R10" i="24" s="1"/>
  <c r="O17" i="24"/>
  <c r="O20" i="24"/>
  <c r="O18" i="24"/>
  <c r="O19" i="24"/>
  <c r="R19" i="24" s="1"/>
  <c r="O11" i="24"/>
  <c r="R11" i="24" s="1"/>
  <c r="O16" i="24"/>
  <c r="R16" i="24" s="1"/>
  <c r="O21" i="24"/>
  <c r="R21" i="24" s="1"/>
  <c r="O15" i="24"/>
  <c r="R15" i="24" s="1"/>
  <c r="O22" i="24"/>
  <c r="R22" i="24" s="1"/>
  <c r="O12" i="24"/>
  <c r="O23" i="24"/>
  <c r="R23" i="24" s="1"/>
  <c r="S23" i="24" s="1"/>
  <c r="O28" i="24"/>
  <c r="R28" i="24" s="1"/>
  <c r="O32" i="24"/>
  <c r="O25" i="24"/>
  <c r="R25" i="24" s="1"/>
  <c r="S25" i="24" s="1"/>
  <c r="O24" i="24"/>
  <c r="R24" i="24" s="1"/>
  <c r="O26" i="24"/>
  <c r="R26" i="24" s="1"/>
  <c r="S26" i="24" s="1"/>
  <c r="O33" i="24"/>
  <c r="R33" i="24" s="1"/>
  <c r="S33" i="24" s="1"/>
  <c r="O30" i="24"/>
  <c r="R30" i="24" s="1"/>
  <c r="S30" i="24" s="1"/>
  <c r="O27" i="24"/>
  <c r="R27" i="24" s="1"/>
  <c r="S27" i="24" s="1"/>
  <c r="O31" i="24"/>
  <c r="R31" i="24" s="1"/>
  <c r="O34" i="24"/>
  <c r="R34" i="24" s="1"/>
  <c r="O35" i="24"/>
  <c r="R35" i="24" s="1"/>
  <c r="O36" i="24"/>
  <c r="O29" i="24"/>
  <c r="R29" i="24" s="1"/>
  <c r="S29" i="24" s="1"/>
  <c r="O37" i="24"/>
  <c r="R37" i="24" s="1"/>
  <c r="O5" i="24"/>
  <c r="R5" i="24" s="1"/>
  <c r="O21" i="4"/>
  <c r="P58" i="4"/>
  <c r="P59" i="4"/>
  <c r="P54" i="4"/>
  <c r="O54" i="4"/>
  <c r="P86" i="4"/>
  <c r="P73" i="4"/>
  <c r="O73" i="4"/>
  <c r="P72" i="4"/>
  <c r="O72" i="4"/>
  <c r="P74" i="4"/>
  <c r="O74" i="4"/>
  <c r="P64" i="4"/>
  <c r="O64" i="4"/>
  <c r="P42" i="4"/>
  <c r="O42" i="4"/>
  <c r="P46" i="4"/>
  <c r="O46" i="4"/>
  <c r="P39" i="4"/>
  <c r="O39" i="4"/>
  <c r="P50" i="4"/>
  <c r="O50" i="4"/>
  <c r="P81" i="4"/>
  <c r="O81" i="4"/>
  <c r="P65" i="4"/>
  <c r="O65" i="4"/>
  <c r="O80" i="4"/>
  <c r="P79" i="4"/>
  <c r="P78" i="4"/>
  <c r="O78" i="4"/>
  <c r="P31" i="4"/>
  <c r="O31" i="4"/>
  <c r="P26" i="4"/>
  <c r="O26" i="4"/>
  <c r="P23" i="4"/>
  <c r="O23" i="4"/>
  <c r="P24" i="4"/>
  <c r="O24" i="4"/>
  <c r="P8" i="4"/>
  <c r="O8" i="4"/>
  <c r="P3" i="4"/>
  <c r="O3" i="4"/>
  <c r="P9" i="4"/>
  <c r="O9" i="4"/>
  <c r="P12" i="4"/>
  <c r="O12" i="4"/>
  <c r="P4" i="4"/>
  <c r="O4" i="4"/>
  <c r="P2" i="4"/>
  <c r="O2" i="4"/>
  <c r="P6" i="4"/>
  <c r="O6" i="4"/>
  <c r="P17" i="4"/>
  <c r="O17" i="4"/>
  <c r="P75" i="4"/>
  <c r="O75" i="4"/>
  <c r="P47" i="4"/>
  <c r="O47" i="4"/>
  <c r="P76" i="4"/>
  <c r="O76" i="4"/>
  <c r="P25" i="4"/>
  <c r="O25" i="4"/>
  <c r="P14" i="4"/>
  <c r="O14" i="4"/>
  <c r="P49" i="4"/>
  <c r="O49" i="4"/>
  <c r="P40" i="4"/>
  <c r="O40" i="4"/>
  <c r="P53" i="4"/>
  <c r="O53" i="4"/>
  <c r="P70" i="4"/>
  <c r="O70" i="4"/>
  <c r="P67" i="4"/>
  <c r="O67" i="4"/>
  <c r="P63" i="4"/>
  <c r="O63" i="4"/>
  <c r="P22" i="4"/>
  <c r="O22" i="4"/>
  <c r="P48" i="4"/>
  <c r="O48" i="4"/>
  <c r="P43" i="4"/>
  <c r="O43" i="4"/>
  <c r="P45" i="4"/>
  <c r="O45" i="4"/>
  <c r="P84" i="4"/>
  <c r="O84" i="4"/>
  <c r="O55" i="4"/>
  <c r="P34" i="4"/>
  <c r="O34" i="4"/>
  <c r="P32" i="4"/>
  <c r="O32" i="4"/>
  <c r="P35" i="4"/>
  <c r="O35" i="4"/>
  <c r="P5" i="4"/>
  <c r="O5" i="4"/>
  <c r="P10" i="4"/>
  <c r="O10" i="4"/>
  <c r="P16" i="4"/>
  <c r="O16" i="4"/>
  <c r="P68" i="4"/>
  <c r="O68" i="4"/>
  <c r="P41" i="4"/>
  <c r="O41" i="4"/>
  <c r="P51" i="4"/>
  <c r="O51" i="4"/>
  <c r="P77" i="4"/>
  <c r="O77" i="4"/>
  <c r="P61" i="4"/>
  <c r="O61" i="4"/>
  <c r="P19" i="4"/>
  <c r="O19" i="4"/>
  <c r="P27" i="4"/>
  <c r="O27" i="4"/>
  <c r="P29" i="4"/>
  <c r="O29" i="4"/>
  <c r="P28" i="4"/>
  <c r="O28" i="4"/>
  <c r="P30" i="4"/>
  <c r="O30" i="4"/>
  <c r="P60" i="4"/>
  <c r="O60" i="4"/>
  <c r="P13" i="4"/>
  <c r="O13" i="4"/>
  <c r="P7" i="4"/>
  <c r="O7" i="4"/>
  <c r="P20" i="4"/>
  <c r="O20" i="4"/>
  <c r="P52" i="4"/>
  <c r="O52" i="4"/>
  <c r="P18" i="4"/>
  <c r="O18" i="4"/>
  <c r="P11" i="4"/>
  <c r="O11" i="4"/>
  <c r="P82" i="4"/>
  <c r="O82" i="4"/>
  <c r="P15" i="4"/>
  <c r="O15" i="4"/>
  <c r="P66" i="4"/>
  <c r="O66" i="4"/>
  <c r="P55" i="4"/>
  <c r="O183" i="3"/>
  <c r="O182" i="3"/>
  <c r="O132" i="3"/>
  <c r="O122" i="3"/>
  <c r="O163" i="3"/>
  <c r="O73" i="8"/>
  <c r="N52" i="19"/>
  <c r="P5" i="10"/>
  <c r="O37" i="9"/>
  <c r="K62" i="10"/>
  <c r="K61" i="10"/>
  <c r="K50" i="10"/>
  <c r="K53" i="10"/>
  <c r="K40" i="10"/>
  <c r="K36" i="10"/>
  <c r="K41" i="10"/>
  <c r="Q60" i="4" l="1"/>
  <c r="Q75" i="4"/>
  <c r="S35" i="24"/>
  <c r="S12" i="24"/>
  <c r="S13" i="24"/>
  <c r="S31" i="24"/>
  <c r="S7" i="24"/>
  <c r="S3" i="24"/>
  <c r="S37" i="24"/>
  <c r="S34" i="24"/>
  <c r="S22" i="24"/>
  <c r="S15" i="24"/>
  <c r="S21" i="24"/>
  <c r="S8" i="24"/>
  <c r="S9" i="24"/>
  <c r="S28" i="24"/>
  <c r="S6" i="24"/>
  <c r="S5" i="24"/>
  <c r="S10" i="24"/>
  <c r="S2" i="24"/>
  <c r="S4" i="24"/>
  <c r="S19" i="24"/>
  <c r="S11" i="24"/>
  <c r="S24" i="24"/>
  <c r="Q4" i="23"/>
  <c r="P4" i="23"/>
  <c r="S4" i="23" s="1"/>
  <c r="O4" i="23"/>
  <c r="Q51" i="4"/>
  <c r="Q41" i="4"/>
  <c r="N96" i="19"/>
  <c r="Q31" i="20"/>
  <c r="P31" i="20"/>
  <c r="O31" i="20"/>
  <c r="R31" i="20" s="1"/>
  <c r="P49" i="21"/>
  <c r="O49" i="21"/>
  <c r="P4" i="21"/>
  <c r="Q4" i="21"/>
  <c r="Q2" i="21"/>
  <c r="O4" i="21"/>
  <c r="R4" i="21" s="1"/>
  <c r="O2" i="21"/>
  <c r="O13" i="23"/>
  <c r="S13" i="23" s="1"/>
  <c r="R13" i="23"/>
  <c r="Q13" i="23"/>
  <c r="O22" i="25"/>
  <c r="R22" i="25" s="1"/>
  <c r="S22" i="25" s="1"/>
  <c r="P22" i="25"/>
  <c r="Q22" i="25"/>
  <c r="K19" i="10"/>
  <c r="K23" i="10"/>
  <c r="K26" i="10"/>
  <c r="K4" i="10"/>
  <c r="K12" i="10"/>
  <c r="N14" i="19"/>
  <c r="N15" i="19"/>
  <c r="N2" i="19"/>
  <c r="N10" i="19"/>
  <c r="N11" i="19"/>
  <c r="N9" i="19"/>
  <c r="N3" i="19"/>
  <c r="N7" i="19"/>
  <c r="N12" i="19"/>
  <c r="N13" i="19"/>
  <c r="N6" i="19"/>
  <c r="N4" i="19"/>
  <c r="N8" i="19"/>
  <c r="N44" i="19"/>
  <c r="N53" i="19"/>
  <c r="N45" i="19"/>
  <c r="N21" i="19"/>
  <c r="N32" i="19"/>
  <c r="N22" i="19"/>
  <c r="N24" i="19"/>
  <c r="N30" i="19"/>
  <c r="N49" i="19"/>
  <c r="N41" i="19"/>
  <c r="N27" i="19"/>
  <c r="N39" i="19"/>
  <c r="N17" i="19"/>
  <c r="N16" i="19"/>
  <c r="N46" i="19"/>
  <c r="N34" i="19"/>
  <c r="N20" i="19"/>
  <c r="N23" i="19"/>
  <c r="N37" i="19"/>
  <c r="N29" i="19"/>
  <c r="N25" i="19"/>
  <c r="N40" i="19"/>
  <c r="N47" i="19"/>
  <c r="N18" i="19"/>
  <c r="N42" i="19"/>
  <c r="N48" i="19"/>
  <c r="N38" i="19"/>
  <c r="N35" i="19"/>
  <c r="N33" i="19"/>
  <c r="N36" i="19"/>
  <c r="N50" i="19"/>
  <c r="N43" i="19"/>
  <c r="N31" i="19"/>
  <c r="N28" i="19"/>
  <c r="N26" i="19"/>
  <c r="N19" i="19"/>
  <c r="N51" i="19"/>
  <c r="N54" i="19"/>
  <c r="N76" i="19"/>
  <c r="N56" i="19"/>
  <c r="N107" i="19"/>
  <c r="N104" i="19"/>
  <c r="N99" i="19"/>
  <c r="N62" i="19"/>
  <c r="N71" i="19"/>
  <c r="N95" i="19"/>
  <c r="N81" i="19"/>
  <c r="N63" i="19"/>
  <c r="N61" i="19"/>
  <c r="N100" i="19"/>
  <c r="N97" i="19"/>
  <c r="N82" i="19"/>
  <c r="N79" i="19"/>
  <c r="N69" i="19"/>
  <c r="N105" i="19"/>
  <c r="N59" i="19"/>
  <c r="N72" i="19"/>
  <c r="N98" i="19"/>
  <c r="N89" i="19"/>
  <c r="N94" i="19"/>
  <c r="N103" i="19"/>
  <c r="N92" i="19"/>
  <c r="N86" i="19"/>
  <c r="N90" i="19"/>
  <c r="N108" i="19"/>
  <c r="N70" i="19"/>
  <c r="N73" i="19"/>
  <c r="N109" i="19"/>
  <c r="N106" i="19"/>
  <c r="N83" i="19"/>
  <c r="N77" i="19"/>
  <c r="N74" i="19"/>
  <c r="N75" i="19"/>
  <c r="N68" i="19"/>
  <c r="N101" i="19"/>
  <c r="N102" i="19"/>
  <c r="N93" i="19"/>
  <c r="N60" i="19"/>
  <c r="N78" i="19"/>
  <c r="N87" i="19"/>
  <c r="N64" i="19"/>
  <c r="N57" i="19"/>
  <c r="N65" i="19"/>
  <c r="N58" i="19"/>
  <c r="N66" i="19"/>
  <c r="N84" i="19"/>
  <c r="N88" i="19"/>
  <c r="N55" i="19"/>
  <c r="N80" i="19"/>
  <c r="N91" i="19"/>
  <c r="N85" i="19"/>
  <c r="N67" i="19"/>
  <c r="N5" i="19"/>
  <c r="O14" i="3"/>
  <c r="O35" i="3"/>
  <c r="O36" i="3"/>
  <c r="O17" i="3"/>
  <c r="O20" i="3"/>
  <c r="O23" i="3"/>
  <c r="O33" i="3"/>
  <c r="O28" i="3"/>
  <c r="O2" i="3"/>
  <c r="O22" i="3"/>
  <c r="O8" i="3"/>
  <c r="O24" i="3"/>
  <c r="O10" i="3"/>
  <c r="O9" i="3"/>
  <c r="O25" i="3"/>
  <c r="O12" i="3"/>
  <c r="O7" i="3"/>
  <c r="O3" i="3"/>
  <c r="O30" i="3"/>
  <c r="O37" i="3"/>
  <c r="O31" i="3"/>
  <c r="O26" i="3"/>
  <c r="O27" i="3"/>
  <c r="O15" i="3"/>
  <c r="O6" i="3"/>
  <c r="O5" i="3"/>
  <c r="O21" i="3"/>
  <c r="O11" i="3"/>
  <c r="O32" i="3"/>
  <c r="O19" i="3"/>
  <c r="O13" i="3"/>
  <c r="O18" i="3"/>
  <c r="O4" i="3"/>
  <c r="O29" i="3"/>
  <c r="O34" i="3"/>
  <c r="O38" i="3"/>
  <c r="O43" i="3"/>
  <c r="O79" i="3"/>
  <c r="O72" i="3"/>
  <c r="O100" i="3"/>
  <c r="O97" i="3"/>
  <c r="O101" i="3"/>
  <c r="O99" i="3"/>
  <c r="O62" i="3"/>
  <c r="O54" i="3"/>
  <c r="O53" i="3"/>
  <c r="O56" i="3"/>
  <c r="O158" i="3"/>
  <c r="O55" i="3"/>
  <c r="O48" i="3"/>
  <c r="O91" i="3"/>
  <c r="O50" i="3"/>
  <c r="O73" i="3"/>
  <c r="O90" i="3"/>
  <c r="O87" i="3"/>
  <c r="O68" i="3"/>
  <c r="O61" i="3"/>
  <c r="O83" i="3"/>
  <c r="O39" i="3"/>
  <c r="O63" i="3"/>
  <c r="O41" i="3"/>
  <c r="O51" i="3"/>
  <c r="O64" i="3"/>
  <c r="O92" i="3"/>
  <c r="O94" i="3"/>
  <c r="O66" i="3"/>
  <c r="O76" i="3"/>
  <c r="O44" i="3"/>
  <c r="O74" i="3"/>
  <c r="O59" i="3"/>
  <c r="O88" i="3"/>
  <c r="O80" i="3"/>
  <c r="O98" i="3"/>
  <c r="O85" i="3"/>
  <c r="O77" i="3"/>
  <c r="O81" i="3"/>
  <c r="O42" i="3"/>
  <c r="O69" i="3"/>
  <c r="O86" i="3"/>
  <c r="O45" i="3"/>
  <c r="O70" i="3"/>
  <c r="O60" i="3"/>
  <c r="O78" i="3"/>
  <c r="O89" i="3"/>
  <c r="O75" i="3"/>
  <c r="O102" i="3"/>
  <c r="O67" i="3"/>
  <c r="O82" i="3"/>
  <c r="O95" i="3"/>
  <c r="O52" i="3"/>
  <c r="O57" i="3"/>
  <c r="O103" i="3"/>
  <c r="O84" i="3"/>
  <c r="O46" i="3"/>
  <c r="O71" i="3"/>
  <c r="O49" i="3"/>
  <c r="O65" i="3"/>
  <c r="O96" i="3"/>
  <c r="O58" i="3"/>
  <c r="O93" i="3"/>
  <c r="O104" i="3"/>
  <c r="O47" i="3"/>
  <c r="O145" i="3"/>
  <c r="O157" i="3"/>
  <c r="O114" i="3"/>
  <c r="O127" i="3"/>
  <c r="O135" i="3"/>
  <c r="O107" i="3"/>
  <c r="O149" i="3"/>
  <c r="O108" i="3"/>
  <c r="O141" i="3"/>
  <c r="O164" i="3"/>
  <c r="O133" i="3"/>
  <c r="O128" i="3"/>
  <c r="O105" i="3"/>
  <c r="O115" i="3"/>
  <c r="O136" i="3"/>
  <c r="O116" i="3"/>
  <c r="O171" i="3"/>
  <c r="O134" i="3"/>
  <c r="O167" i="3"/>
  <c r="O180" i="3"/>
  <c r="O150" i="3"/>
  <c r="O138" i="3"/>
  <c r="O148" i="3"/>
  <c r="O129" i="3"/>
  <c r="O144" i="3"/>
  <c r="O130" i="3"/>
  <c r="O143" i="3"/>
  <c r="O187" i="3"/>
  <c r="O184" i="3"/>
  <c r="O137" i="3"/>
  <c r="O155" i="3"/>
  <c r="O172" i="3"/>
  <c r="O123" i="3"/>
  <c r="O146" i="3"/>
  <c r="O160" i="3"/>
  <c r="O185" i="3"/>
  <c r="O179" i="3"/>
  <c r="O173" i="3"/>
  <c r="O106" i="3"/>
  <c r="O142" i="3"/>
  <c r="O152" i="3"/>
  <c r="O188" i="3"/>
  <c r="O159" i="3"/>
  <c r="O176" i="3"/>
  <c r="O168" i="3"/>
  <c r="O117" i="3"/>
  <c r="O153" i="3"/>
  <c r="O124" i="3"/>
  <c r="O139" i="3"/>
  <c r="O169" i="3"/>
  <c r="O109" i="3"/>
  <c r="O165" i="3"/>
  <c r="O151" i="3"/>
  <c r="O181" i="3"/>
  <c r="O161" i="3"/>
  <c r="O131" i="3"/>
  <c r="O166" i="3"/>
  <c r="O170" i="3"/>
  <c r="O177" i="3"/>
  <c r="O189" i="3"/>
  <c r="O162" i="3"/>
  <c r="O121" i="3"/>
  <c r="O118" i="3"/>
  <c r="O119" i="3"/>
  <c r="O156" i="3"/>
  <c r="O120" i="3"/>
  <c r="O125" i="3"/>
  <c r="O111" i="3"/>
  <c r="O126" i="3"/>
  <c r="O140" i="3"/>
  <c r="O110" i="3"/>
  <c r="O147" i="3"/>
  <c r="O112" i="3"/>
  <c r="O154" i="3"/>
  <c r="O113" i="3"/>
  <c r="O190" i="3"/>
  <c r="O186" i="3"/>
  <c r="O178" i="3"/>
  <c r="O174" i="3"/>
  <c r="O175" i="3"/>
  <c r="O40" i="3"/>
  <c r="O16" i="3"/>
  <c r="O21" i="8"/>
  <c r="O15" i="8"/>
  <c r="O7" i="8"/>
  <c r="O9" i="8"/>
  <c r="O14" i="8"/>
  <c r="O4" i="8"/>
  <c r="O13" i="8"/>
  <c r="O3" i="8"/>
  <c r="O16" i="8"/>
  <c r="O22" i="8"/>
  <c r="O11" i="8"/>
  <c r="O12" i="8"/>
  <c r="O18" i="8"/>
  <c r="O17" i="8"/>
  <c r="O8" i="8"/>
  <c r="O6" i="8"/>
  <c r="O19" i="8"/>
  <c r="O5" i="8"/>
  <c r="O10" i="8"/>
  <c r="O2" i="8"/>
  <c r="O23" i="8"/>
  <c r="O48" i="8"/>
  <c r="O37" i="8"/>
  <c r="O52" i="8"/>
  <c r="O35" i="8"/>
  <c r="O66" i="8"/>
  <c r="O29" i="8"/>
  <c r="O55" i="8"/>
  <c r="O65" i="8"/>
  <c r="O53" i="8"/>
  <c r="O42" i="8"/>
  <c r="O39" i="8"/>
  <c r="O43" i="8"/>
  <c r="O57" i="8"/>
  <c r="O58" i="8"/>
  <c r="O25" i="8"/>
  <c r="O64" i="8"/>
  <c r="O59" i="8"/>
  <c r="O26" i="8"/>
  <c r="O41" i="8"/>
  <c r="O67" i="8"/>
  <c r="O50" i="8"/>
  <c r="O45" i="8"/>
  <c r="O33" i="8"/>
  <c r="O56" i="8"/>
  <c r="O46" i="8"/>
  <c r="O49" i="8"/>
  <c r="O54" i="8"/>
  <c r="O51" i="8"/>
  <c r="O38" i="8"/>
  <c r="O47" i="8"/>
  <c r="O34" i="8"/>
  <c r="O63" i="8"/>
  <c r="O27" i="8"/>
  <c r="O31" i="8"/>
  <c r="O28" i="8"/>
  <c r="O60" i="8"/>
  <c r="O32" i="8"/>
  <c r="O68" i="8"/>
  <c r="O61" i="8"/>
  <c r="O24" i="8"/>
  <c r="O44" i="8"/>
  <c r="O40" i="8"/>
  <c r="O36" i="8"/>
  <c r="O62" i="8"/>
  <c r="O30" i="8"/>
  <c r="O104" i="8"/>
  <c r="O74" i="8"/>
  <c r="O75" i="8"/>
  <c r="O113" i="8"/>
  <c r="O110" i="8"/>
  <c r="O94" i="8"/>
  <c r="O80" i="8"/>
  <c r="O100" i="8"/>
  <c r="O87" i="8"/>
  <c r="O97" i="8"/>
  <c r="O72" i="8"/>
  <c r="O89" i="8"/>
  <c r="O102" i="8"/>
  <c r="O83" i="8"/>
  <c r="O114" i="8"/>
  <c r="O103" i="8"/>
  <c r="O93" i="8"/>
  <c r="O82" i="8"/>
  <c r="O86" i="8"/>
  <c r="O95" i="8"/>
  <c r="O98" i="8"/>
  <c r="O69" i="8"/>
  <c r="O96" i="8"/>
  <c r="O115" i="8"/>
  <c r="O116" i="8"/>
  <c r="O105" i="8"/>
  <c r="O106" i="8"/>
  <c r="O92" i="8"/>
  <c r="O90" i="8"/>
  <c r="O70" i="8"/>
  <c r="O85" i="8"/>
  <c r="O108" i="8"/>
  <c r="O88" i="8"/>
  <c r="O76" i="8"/>
  <c r="O101" i="8"/>
  <c r="O81" i="8"/>
  <c r="O79" i="8"/>
  <c r="O77" i="8"/>
  <c r="O99" i="8"/>
  <c r="O91" i="8"/>
  <c r="O84" i="8"/>
  <c r="O78" i="8"/>
  <c r="O111" i="8"/>
  <c r="O112" i="8"/>
  <c r="O107" i="8"/>
  <c r="O109" i="8"/>
  <c r="O20" i="8"/>
  <c r="S4" i="21" l="1"/>
  <c r="R4" i="23"/>
  <c r="S31" i="20"/>
  <c r="Q12" i="4"/>
  <c r="Q5" i="4"/>
  <c r="Q11" i="4"/>
  <c r="Q16" i="4"/>
  <c r="Q14" i="4"/>
  <c r="Q4" i="4"/>
  <c r="Q9" i="4"/>
  <c r="Q17" i="4"/>
  <c r="Q6" i="4"/>
  <c r="Q2" i="4"/>
  <c r="Q3" i="4"/>
  <c r="Q8" i="4"/>
  <c r="Q13" i="4"/>
  <c r="Q7" i="4"/>
  <c r="Q10" i="4"/>
  <c r="Q21" i="4"/>
  <c r="Q37" i="4"/>
  <c r="Q35" i="4"/>
  <c r="Q22" i="4"/>
  <c r="Q20" i="4"/>
  <c r="Q18" i="4"/>
  <c r="Q25" i="4"/>
  <c r="Q26" i="4"/>
  <c r="Q24" i="4"/>
  <c r="Q27" i="4"/>
  <c r="Q31" i="4"/>
  <c r="Q36" i="4"/>
  <c r="Q28" i="4"/>
  <c r="Q33" i="4"/>
  <c r="Q34" i="4"/>
  <c r="Q30" i="4"/>
  <c r="Q19" i="4"/>
  <c r="Q32" i="4"/>
  <c r="Q38" i="4"/>
  <c r="Q23" i="4"/>
  <c r="Q29" i="4"/>
  <c r="Q82" i="4"/>
  <c r="Q87" i="4"/>
  <c r="Q40" i="4"/>
  <c r="Q88" i="4"/>
  <c r="Q45" i="4"/>
  <c r="Q39" i="4"/>
  <c r="Q78" i="4"/>
  <c r="Q49" i="4"/>
  <c r="Q84" i="4"/>
  <c r="Q43" i="4"/>
  <c r="Q66" i="4"/>
  <c r="Q52" i="4"/>
  <c r="Q55" i="4"/>
  <c r="Q76" i="4"/>
  <c r="Q85" i="4"/>
  <c r="Q83" i="4"/>
  <c r="Q89" i="4"/>
  <c r="Q71" i="4"/>
  <c r="Q46" i="4"/>
  <c r="Q69" i="4"/>
  <c r="Q57" i="4"/>
  <c r="Q47" i="4"/>
  <c r="Q58" i="4"/>
  <c r="Q90" i="4"/>
  <c r="Q44" i="4"/>
  <c r="Q59" i="4"/>
  <c r="Q61" i="4"/>
  <c r="Q54" i="4"/>
  <c r="Q86" i="4"/>
  <c r="Q81" i="4"/>
  <c r="Q73" i="4"/>
  <c r="Q42" i="4"/>
  <c r="Q62" i="4"/>
  <c r="Q65" i="4"/>
  <c r="Q77" i="4"/>
  <c r="Q68" i="4"/>
  <c r="Q63" i="4"/>
  <c r="Q67" i="4"/>
  <c r="Q53" i="4"/>
  <c r="Q80" i="4"/>
  <c r="Q79" i="4"/>
  <c r="Q70" i="4"/>
  <c r="Q48" i="4"/>
  <c r="Q56" i="4"/>
  <c r="Q64" i="4"/>
  <c r="Q72" i="4"/>
  <c r="Q50" i="4"/>
  <c r="Q74" i="4"/>
  <c r="Q15" i="4"/>
  <c r="N3" i="5"/>
  <c r="O17" i="25" l="1"/>
  <c r="R5" i="20"/>
  <c r="R6" i="20"/>
  <c r="R27" i="20"/>
  <c r="R28" i="20"/>
  <c r="R29" i="20"/>
  <c r="R30" i="20"/>
  <c r="R48" i="20"/>
  <c r="R49" i="20"/>
  <c r="Q5" i="20"/>
  <c r="S5" i="20" s="1"/>
  <c r="Q4" i="20"/>
  <c r="Q6" i="20"/>
  <c r="Q2" i="20"/>
  <c r="Q18" i="20"/>
  <c r="Q15" i="20"/>
  <c r="Q7" i="20"/>
  <c r="Q8" i="20"/>
  <c r="Q11" i="20"/>
  <c r="Q10" i="20"/>
  <c r="Q17" i="20"/>
  <c r="Q22" i="20"/>
  <c r="Q26" i="20"/>
  <c r="Q27" i="20"/>
  <c r="Q12" i="20"/>
  <c r="Q28" i="20"/>
  <c r="Q29" i="20"/>
  <c r="Q23" i="20"/>
  <c r="Q21" i="20"/>
  <c r="Q20" i="20"/>
  <c r="Q19" i="20"/>
  <c r="Q25" i="20"/>
  <c r="Q9" i="20"/>
  <c r="Q14" i="20"/>
  <c r="Q24" i="20"/>
  <c r="Q30" i="20"/>
  <c r="Q34" i="20"/>
  <c r="Q33" i="20"/>
  <c r="Q45" i="20"/>
  <c r="Q42" i="20"/>
  <c r="Q40" i="20"/>
  <c r="Q48" i="20"/>
  <c r="Q35" i="20"/>
  <c r="Q32" i="20"/>
  <c r="Q44" i="20"/>
  <c r="Q37" i="20"/>
  <c r="Q36" i="20"/>
  <c r="Q38" i="20"/>
  <c r="Q49" i="20"/>
  <c r="Q46" i="20"/>
  <c r="Q47" i="20"/>
  <c r="Q16" i="20"/>
  <c r="Q39" i="20"/>
  <c r="Q13" i="20"/>
  <c r="Q41" i="20"/>
  <c r="Q43" i="20"/>
  <c r="Q3" i="20"/>
  <c r="R28" i="21"/>
  <c r="R29" i="21"/>
  <c r="R30" i="21"/>
  <c r="R31" i="21"/>
  <c r="R32" i="21"/>
  <c r="R50" i="21"/>
  <c r="R51" i="21"/>
  <c r="R52" i="21"/>
  <c r="R53" i="21"/>
  <c r="R54" i="21"/>
  <c r="R55" i="21"/>
  <c r="R56" i="21"/>
  <c r="R57" i="21"/>
  <c r="R58" i="21"/>
  <c r="R49" i="21"/>
  <c r="Q5" i="21"/>
  <c r="Q28" i="21"/>
  <c r="Q27" i="21"/>
  <c r="Q18" i="21"/>
  <c r="Q17" i="21"/>
  <c r="Q29" i="21"/>
  <c r="Q8" i="21"/>
  <c r="Q15" i="21"/>
  <c r="Q22" i="21"/>
  <c r="Q16" i="21"/>
  <c r="Q13" i="21"/>
  <c r="Q30" i="21"/>
  <c r="Q23" i="21"/>
  <c r="Q10" i="21"/>
  <c r="Q12" i="21"/>
  <c r="Q31" i="21"/>
  <c r="Q24" i="21"/>
  <c r="Q9" i="21"/>
  <c r="Q25" i="21"/>
  <c r="Q26" i="21"/>
  <c r="Q32" i="21"/>
  <c r="Q21" i="21"/>
  <c r="Q7" i="21"/>
  <c r="Q19" i="21"/>
  <c r="Q11" i="21"/>
  <c r="Q14" i="21"/>
  <c r="Q50" i="21"/>
  <c r="Q35" i="21"/>
  <c r="Q41" i="21"/>
  <c r="Q37" i="21"/>
  <c r="Q51" i="21"/>
  <c r="Q48" i="21"/>
  <c r="Q46" i="21"/>
  <c r="Q52" i="21"/>
  <c r="Q38" i="21"/>
  <c r="Q53" i="21"/>
  <c r="S53" i="21" s="1"/>
  <c r="Q44" i="21"/>
  <c r="Q45" i="21"/>
  <c r="Q54" i="21"/>
  <c r="Q55" i="21"/>
  <c r="Q56" i="21"/>
  <c r="Q57" i="21"/>
  <c r="Q36" i="21"/>
  <c r="Q34" i="21"/>
  <c r="Q33" i="21"/>
  <c r="Q58" i="21"/>
  <c r="Q49" i="21"/>
  <c r="Q42" i="21"/>
  <c r="Q47" i="21"/>
  <c r="Q59" i="21"/>
  <c r="Q20" i="21"/>
  <c r="Q40" i="21"/>
  <c r="Q43" i="21"/>
  <c r="Q39" i="21"/>
  <c r="Q3" i="21"/>
  <c r="P5" i="22"/>
  <c r="P6" i="22"/>
  <c r="P3" i="22"/>
  <c r="P2" i="22"/>
  <c r="P19" i="22"/>
  <c r="P23" i="22"/>
  <c r="P11" i="22"/>
  <c r="P29" i="22"/>
  <c r="P18" i="22"/>
  <c r="P9" i="22"/>
  <c r="P30" i="22"/>
  <c r="P26" i="22"/>
  <c r="P27" i="22"/>
  <c r="P13" i="22"/>
  <c r="P8" i="22"/>
  <c r="P28" i="22"/>
  <c r="P20" i="22"/>
  <c r="P32" i="22"/>
  <c r="P10" i="22"/>
  <c r="P22" i="22"/>
  <c r="P33" i="22"/>
  <c r="P34" i="22"/>
  <c r="P35" i="22"/>
  <c r="P36" i="22"/>
  <c r="P15" i="22"/>
  <c r="P25" i="22"/>
  <c r="P24" i="22"/>
  <c r="P17" i="22"/>
  <c r="P37" i="22"/>
  <c r="P21" i="22"/>
  <c r="P14" i="22"/>
  <c r="P12" i="22"/>
  <c r="P7" i="22"/>
  <c r="P16" i="22"/>
  <c r="P48" i="22"/>
  <c r="P41" i="22"/>
  <c r="P42" i="22"/>
  <c r="P47" i="22"/>
  <c r="P49" i="22"/>
  <c r="P50" i="22"/>
  <c r="P51" i="22"/>
  <c r="P52" i="22"/>
  <c r="P38" i="22"/>
  <c r="P53" i="22"/>
  <c r="P54" i="22"/>
  <c r="P45" i="22"/>
  <c r="P55" i="22"/>
  <c r="P44" i="22"/>
  <c r="P43" i="22"/>
  <c r="P46" i="22"/>
  <c r="P40" i="22"/>
  <c r="P39" i="22"/>
  <c r="R44" i="22"/>
  <c r="R43" i="22"/>
  <c r="S43" i="22" s="1"/>
  <c r="R46" i="22"/>
  <c r="S46" i="22" s="1"/>
  <c r="Q5" i="22"/>
  <c r="Q6" i="22"/>
  <c r="Q3" i="22"/>
  <c r="Q2" i="22"/>
  <c r="Q19" i="22"/>
  <c r="Q23" i="22"/>
  <c r="Q11" i="22"/>
  <c r="Q29" i="22"/>
  <c r="Q18" i="22"/>
  <c r="Q9" i="22"/>
  <c r="Q30" i="22"/>
  <c r="S30" i="22" s="1"/>
  <c r="Q26" i="22"/>
  <c r="Q27" i="22"/>
  <c r="Q13" i="22"/>
  <c r="Q8" i="22"/>
  <c r="Q28" i="22"/>
  <c r="Q20" i="22"/>
  <c r="Q32" i="22"/>
  <c r="Q10" i="22"/>
  <c r="Q22" i="22"/>
  <c r="Q33" i="22"/>
  <c r="Q34" i="22"/>
  <c r="Q35" i="22"/>
  <c r="S35" i="22" s="1"/>
  <c r="Q36" i="22"/>
  <c r="Q15" i="22"/>
  <c r="Q25" i="22"/>
  <c r="Q24" i="22"/>
  <c r="Q17" i="22"/>
  <c r="Q37" i="22"/>
  <c r="Q21" i="22"/>
  <c r="Q14" i="22"/>
  <c r="Q12" i="22"/>
  <c r="Q7" i="22"/>
  <c r="Q16" i="22"/>
  <c r="Q48" i="22"/>
  <c r="Q41" i="22"/>
  <c r="Q42" i="22"/>
  <c r="Q47" i="22"/>
  <c r="Q49" i="22"/>
  <c r="Q50" i="22"/>
  <c r="Q51" i="22"/>
  <c r="Q52" i="22"/>
  <c r="Q38" i="22"/>
  <c r="Q53" i="22"/>
  <c r="S53" i="22" s="1"/>
  <c r="Q54" i="22"/>
  <c r="Q45" i="22"/>
  <c r="Q55" i="22"/>
  <c r="S55" i="22" s="1"/>
  <c r="Q44" i="22"/>
  <c r="S44" i="22" s="1"/>
  <c r="Q43" i="22"/>
  <c r="Q46" i="22"/>
  <c r="Q40" i="22"/>
  <c r="Q39" i="22"/>
  <c r="Q4" i="22"/>
  <c r="O5" i="22"/>
  <c r="R5" i="22" s="1"/>
  <c r="O6" i="22"/>
  <c r="R6" i="22" s="1"/>
  <c r="O3" i="22"/>
  <c r="R3" i="22" s="1"/>
  <c r="S3" i="22" s="1"/>
  <c r="O2" i="22"/>
  <c r="R2" i="22" s="1"/>
  <c r="S2" i="22" s="1"/>
  <c r="O19" i="22"/>
  <c r="R19" i="22" s="1"/>
  <c r="S19" i="22" s="1"/>
  <c r="O23" i="22"/>
  <c r="R23" i="22" s="1"/>
  <c r="S23" i="22" s="1"/>
  <c r="O11" i="22"/>
  <c r="R11" i="22" s="1"/>
  <c r="S11" i="22" s="1"/>
  <c r="O29" i="22"/>
  <c r="R29" i="22" s="1"/>
  <c r="O18" i="22"/>
  <c r="R18" i="22" s="1"/>
  <c r="O9" i="22"/>
  <c r="R9" i="22" s="1"/>
  <c r="O30" i="22"/>
  <c r="R30" i="22" s="1"/>
  <c r="O26" i="22"/>
  <c r="R26" i="22" s="1"/>
  <c r="O27" i="22"/>
  <c r="R27" i="22" s="1"/>
  <c r="O13" i="22"/>
  <c r="R13" i="22" s="1"/>
  <c r="O8" i="22"/>
  <c r="R8" i="22" s="1"/>
  <c r="S8" i="22" s="1"/>
  <c r="O28" i="22"/>
  <c r="R28" i="22" s="1"/>
  <c r="O20" i="22"/>
  <c r="R20" i="22" s="1"/>
  <c r="S20" i="22" s="1"/>
  <c r="O32" i="22"/>
  <c r="R32" i="22" s="1"/>
  <c r="O10" i="22"/>
  <c r="R10" i="22" s="1"/>
  <c r="O22" i="22"/>
  <c r="R22" i="22" s="1"/>
  <c r="S22" i="22" s="1"/>
  <c r="O33" i="22"/>
  <c r="R33" i="22" s="1"/>
  <c r="O34" i="22"/>
  <c r="R34" i="22" s="1"/>
  <c r="O35" i="22"/>
  <c r="R35" i="22" s="1"/>
  <c r="O36" i="22"/>
  <c r="R36" i="22" s="1"/>
  <c r="S36" i="22" s="1"/>
  <c r="O15" i="22"/>
  <c r="R15" i="22" s="1"/>
  <c r="O25" i="22"/>
  <c r="R25" i="22" s="1"/>
  <c r="O24" i="22"/>
  <c r="R24" i="22" s="1"/>
  <c r="S24" i="22" s="1"/>
  <c r="O17" i="22"/>
  <c r="R17" i="22" s="1"/>
  <c r="S17" i="22" s="1"/>
  <c r="O37" i="22"/>
  <c r="R37" i="22" s="1"/>
  <c r="S37" i="22" s="1"/>
  <c r="O21" i="22"/>
  <c r="R21" i="22" s="1"/>
  <c r="S21" i="22" s="1"/>
  <c r="O14" i="22"/>
  <c r="R14" i="22" s="1"/>
  <c r="O12" i="22"/>
  <c r="R12" i="22" s="1"/>
  <c r="O7" i="22"/>
  <c r="R7" i="22" s="1"/>
  <c r="O16" i="22"/>
  <c r="R16" i="22" s="1"/>
  <c r="O48" i="22"/>
  <c r="R48" i="22" s="1"/>
  <c r="O41" i="22"/>
  <c r="R41" i="22" s="1"/>
  <c r="O42" i="22"/>
  <c r="R42" i="22" s="1"/>
  <c r="S42" i="22" s="1"/>
  <c r="O47" i="22"/>
  <c r="R47" i="22" s="1"/>
  <c r="S47" i="22" s="1"/>
  <c r="O49" i="22"/>
  <c r="R49" i="22" s="1"/>
  <c r="S49" i="22" s="1"/>
  <c r="O50" i="22"/>
  <c r="R50" i="22" s="1"/>
  <c r="S50" i="22" s="1"/>
  <c r="O51" i="22"/>
  <c r="R51" i="22" s="1"/>
  <c r="S51" i="22" s="1"/>
  <c r="O52" i="22"/>
  <c r="R52" i="22" s="1"/>
  <c r="S52" i="22" s="1"/>
  <c r="O38" i="22"/>
  <c r="R38" i="22" s="1"/>
  <c r="O53" i="22"/>
  <c r="R53" i="22" s="1"/>
  <c r="O54" i="22"/>
  <c r="R54" i="22" s="1"/>
  <c r="O45" i="22"/>
  <c r="R45" i="22" s="1"/>
  <c r="O55" i="22"/>
  <c r="R55" i="22" s="1"/>
  <c r="O44" i="22"/>
  <c r="O43" i="22"/>
  <c r="O46" i="22"/>
  <c r="O40" i="22"/>
  <c r="R40" i="22" s="1"/>
  <c r="S40" i="22" s="1"/>
  <c r="O39" i="22"/>
  <c r="R39" i="22" s="1"/>
  <c r="S39" i="22" s="1"/>
  <c r="O4" i="22"/>
  <c r="R4" i="22" s="1"/>
  <c r="S4" i="22" s="1"/>
  <c r="P4" i="22"/>
  <c r="R17" i="25"/>
  <c r="Q3" i="25"/>
  <c r="Q6" i="25"/>
  <c r="Q17" i="25"/>
  <c r="Q24" i="25"/>
  <c r="Q25" i="25"/>
  <c r="Q14" i="25"/>
  <c r="Q21" i="25"/>
  <c r="Q7" i="25"/>
  <c r="Q10" i="25"/>
  <c r="Q16" i="25"/>
  <c r="Q26" i="25"/>
  <c r="Q27" i="25"/>
  <c r="Q18" i="25"/>
  <c r="Q28" i="25"/>
  <c r="Q15" i="25"/>
  <c r="Q29" i="25"/>
  <c r="Q30" i="25"/>
  <c r="Q23" i="25"/>
  <c r="Q11" i="25"/>
  <c r="Q31" i="25"/>
  <c r="Q19" i="25"/>
  <c r="Q13" i="25"/>
  <c r="Q32" i="25"/>
  <c r="Q9" i="25"/>
  <c r="Q12" i="25"/>
  <c r="Q51" i="25"/>
  <c r="Q39" i="25"/>
  <c r="Q47" i="25"/>
  <c r="Q42" i="25"/>
  <c r="Q50" i="25"/>
  <c r="Q36" i="25"/>
  <c r="Q52" i="25"/>
  <c r="Q44" i="25"/>
  <c r="Q37" i="25"/>
  <c r="Q53" i="25"/>
  <c r="Q40" i="25"/>
  <c r="Q34" i="25"/>
  <c r="Q48" i="25"/>
  <c r="Q54" i="25"/>
  <c r="Q45" i="25"/>
  <c r="Q46" i="25"/>
  <c r="Q49" i="25"/>
  <c r="Q55" i="25"/>
  <c r="Q35" i="25"/>
  <c r="Q33" i="25"/>
  <c r="Q20" i="25"/>
  <c r="Q43" i="25"/>
  <c r="Q41" i="25"/>
  <c r="Q38" i="25"/>
  <c r="Q8" i="25"/>
  <c r="Q2" i="25"/>
  <c r="P3" i="25"/>
  <c r="P6" i="25"/>
  <c r="P17" i="25"/>
  <c r="P24" i="25"/>
  <c r="P25" i="25"/>
  <c r="P14" i="25"/>
  <c r="P21" i="25"/>
  <c r="P7" i="25"/>
  <c r="P10" i="25"/>
  <c r="P16" i="25"/>
  <c r="P26" i="25"/>
  <c r="P27" i="25"/>
  <c r="P18" i="25"/>
  <c r="P28" i="25"/>
  <c r="P15" i="25"/>
  <c r="P29" i="25"/>
  <c r="P30" i="25"/>
  <c r="P23" i="25"/>
  <c r="P11" i="25"/>
  <c r="P31" i="25"/>
  <c r="P19" i="25"/>
  <c r="P13" i="25"/>
  <c r="P32" i="25"/>
  <c r="P9" i="25"/>
  <c r="P12" i="25"/>
  <c r="P51" i="25"/>
  <c r="P39" i="25"/>
  <c r="P47" i="25"/>
  <c r="P42" i="25"/>
  <c r="P50" i="25"/>
  <c r="P36" i="25"/>
  <c r="P52" i="25"/>
  <c r="P44" i="25"/>
  <c r="P37" i="25"/>
  <c r="P53" i="25"/>
  <c r="P40" i="25"/>
  <c r="P34" i="25"/>
  <c r="P48" i="25"/>
  <c r="P54" i="25"/>
  <c r="P45" i="25"/>
  <c r="P46" i="25"/>
  <c r="P49" i="25"/>
  <c r="P55" i="25"/>
  <c r="P35" i="25"/>
  <c r="P33" i="25"/>
  <c r="P20" i="25"/>
  <c r="P43" i="25"/>
  <c r="P41" i="25"/>
  <c r="P38" i="25"/>
  <c r="P8" i="25"/>
  <c r="P2" i="25"/>
  <c r="O3" i="25"/>
  <c r="R3" i="25" s="1"/>
  <c r="S3" i="25" s="1"/>
  <c r="O6" i="25"/>
  <c r="R6" i="25" s="1"/>
  <c r="O24" i="25"/>
  <c r="R24" i="25" s="1"/>
  <c r="O25" i="25"/>
  <c r="R25" i="25" s="1"/>
  <c r="O14" i="25"/>
  <c r="R14" i="25" s="1"/>
  <c r="O21" i="25"/>
  <c r="R21" i="25" s="1"/>
  <c r="O7" i="25"/>
  <c r="R7" i="25" s="1"/>
  <c r="O10" i="25"/>
  <c r="R10" i="25" s="1"/>
  <c r="O16" i="25"/>
  <c r="R16" i="25" s="1"/>
  <c r="O26" i="25"/>
  <c r="R26" i="25" s="1"/>
  <c r="O27" i="25"/>
  <c r="R27" i="25" s="1"/>
  <c r="O18" i="25"/>
  <c r="R18" i="25" s="1"/>
  <c r="S18" i="25" s="1"/>
  <c r="O28" i="25"/>
  <c r="R28" i="25" s="1"/>
  <c r="O15" i="25"/>
  <c r="R15" i="25" s="1"/>
  <c r="O29" i="25"/>
  <c r="R29" i="25" s="1"/>
  <c r="O30" i="25"/>
  <c r="R30" i="25" s="1"/>
  <c r="O23" i="25"/>
  <c r="R23" i="25" s="1"/>
  <c r="O11" i="25"/>
  <c r="R11" i="25" s="1"/>
  <c r="O31" i="25"/>
  <c r="R31" i="25" s="1"/>
  <c r="O19" i="25"/>
  <c r="R19" i="25" s="1"/>
  <c r="O13" i="25"/>
  <c r="R13" i="25" s="1"/>
  <c r="O32" i="25"/>
  <c r="R32" i="25" s="1"/>
  <c r="O9" i="25"/>
  <c r="R9" i="25" s="1"/>
  <c r="O12" i="25"/>
  <c r="R12" i="25" s="1"/>
  <c r="O51" i="25"/>
  <c r="R51" i="25" s="1"/>
  <c r="O39" i="25"/>
  <c r="R39" i="25" s="1"/>
  <c r="O47" i="25"/>
  <c r="R47" i="25" s="1"/>
  <c r="O42" i="25"/>
  <c r="R42" i="25" s="1"/>
  <c r="O50" i="25"/>
  <c r="R50" i="25" s="1"/>
  <c r="O36" i="25"/>
  <c r="R36" i="25" s="1"/>
  <c r="O52" i="25"/>
  <c r="R52" i="25" s="1"/>
  <c r="O44" i="25"/>
  <c r="R44" i="25" s="1"/>
  <c r="O37" i="25"/>
  <c r="R37" i="25" s="1"/>
  <c r="O53" i="25"/>
  <c r="R53" i="25" s="1"/>
  <c r="O40" i="25"/>
  <c r="R40" i="25" s="1"/>
  <c r="S40" i="25" s="1"/>
  <c r="O34" i="25"/>
  <c r="R34" i="25" s="1"/>
  <c r="S34" i="25" s="1"/>
  <c r="O48" i="25"/>
  <c r="R48" i="25" s="1"/>
  <c r="O54" i="25"/>
  <c r="R54" i="25" s="1"/>
  <c r="O45" i="25"/>
  <c r="R45" i="25" s="1"/>
  <c r="O46" i="25"/>
  <c r="R46" i="25" s="1"/>
  <c r="O49" i="25"/>
  <c r="R49" i="25" s="1"/>
  <c r="O55" i="25"/>
  <c r="R55" i="25" s="1"/>
  <c r="O35" i="25"/>
  <c r="R35" i="25" s="1"/>
  <c r="O33" i="25"/>
  <c r="R33" i="25" s="1"/>
  <c r="O20" i="25"/>
  <c r="R20" i="25" s="1"/>
  <c r="O43" i="25"/>
  <c r="R43" i="25" s="1"/>
  <c r="O41" i="25"/>
  <c r="R41" i="25" s="1"/>
  <c r="S41" i="25" s="1"/>
  <c r="O38" i="25"/>
  <c r="R38" i="25" s="1"/>
  <c r="O8" i="25"/>
  <c r="R8" i="25" s="1"/>
  <c r="O2" i="25"/>
  <c r="R2" i="25" s="1"/>
  <c r="S32" i="21" l="1"/>
  <c r="S56" i="21"/>
  <c r="S58" i="21"/>
  <c r="S13" i="22"/>
  <c r="S25" i="22"/>
  <c r="S6" i="22"/>
  <c r="S29" i="22"/>
  <c r="S15" i="22"/>
  <c r="S27" i="22"/>
  <c r="S5" i="22"/>
  <c r="S52" i="21"/>
  <c r="S29" i="21"/>
  <c r="S31" i="21"/>
  <c r="S55" i="21"/>
  <c r="S30" i="20"/>
  <c r="S27" i="20"/>
  <c r="S50" i="25"/>
  <c r="S14" i="25"/>
  <c r="S46" i="25"/>
  <c r="S42" i="25"/>
  <c r="S30" i="25"/>
  <c r="S25" i="25"/>
  <c r="S49" i="25"/>
  <c r="S23" i="25"/>
  <c r="S47" i="25"/>
  <c r="S24" i="25"/>
  <c r="S26" i="25"/>
  <c r="S13" i="25"/>
  <c r="S2" i="25"/>
  <c r="S39" i="25"/>
  <c r="S44" i="25"/>
  <c r="S10" i="25"/>
  <c r="S31" i="25"/>
  <c r="S7" i="25"/>
  <c r="S53" i="25"/>
  <c r="S20" i="25"/>
  <c r="S37" i="25"/>
  <c r="S16" i="25"/>
  <c r="S54" i="25"/>
  <c r="S33" i="25"/>
  <c r="S19" i="25"/>
  <c r="S35" i="25"/>
  <c r="S52" i="25"/>
  <c r="S55" i="25"/>
  <c r="S36" i="25"/>
  <c r="S11" i="25"/>
  <c r="S21" i="25"/>
  <c r="S28" i="22"/>
  <c r="S9" i="25"/>
  <c r="S12" i="25"/>
  <c r="S38" i="25"/>
  <c r="S45" i="25"/>
  <c r="S29" i="25"/>
  <c r="S17" i="25"/>
  <c r="S27" i="25"/>
  <c r="S15" i="25"/>
  <c r="S48" i="20"/>
  <c r="S49" i="20"/>
  <c r="S28" i="20"/>
  <c r="S6" i="20"/>
  <c r="S29" i="20"/>
  <c r="S54" i="21"/>
  <c r="S50" i="21"/>
  <c r="S28" i="21"/>
  <c r="S51" i="21"/>
  <c r="S57" i="21"/>
  <c r="S30" i="21"/>
  <c r="S49" i="21"/>
  <c r="S41" i="22"/>
  <c r="S45" i="22"/>
  <c r="S16" i="22"/>
  <c r="S9" i="22"/>
  <c r="S48" i="22"/>
  <c r="S54" i="22"/>
  <c r="S7" i="22"/>
  <c r="S18" i="22"/>
  <c r="S12" i="22"/>
  <c r="S26" i="22"/>
  <c r="S38" i="22"/>
  <c r="S14" i="22"/>
  <c r="S10" i="22"/>
  <c r="S43" i="25"/>
  <c r="S48" i="25"/>
  <c r="S28" i="25"/>
  <c r="S9" i="21"/>
  <c r="S16" i="20"/>
  <c r="S8" i="25"/>
  <c r="S51" i="25"/>
  <c r="S6" i="25"/>
  <c r="S32" i="25"/>
  <c r="P43" i="20"/>
  <c r="O43" i="20"/>
  <c r="R43" i="20" s="1"/>
  <c r="S43" i="20" s="1"/>
  <c r="P41" i="20"/>
  <c r="O41" i="20"/>
  <c r="R41" i="20" s="1"/>
  <c r="S41" i="20" s="1"/>
  <c r="P13" i="20"/>
  <c r="O13" i="20"/>
  <c r="R13" i="20" s="1"/>
  <c r="S13" i="20" s="1"/>
  <c r="P39" i="20"/>
  <c r="O39" i="20"/>
  <c r="R39" i="20" s="1"/>
  <c r="S39" i="20" s="1"/>
  <c r="P16" i="20"/>
  <c r="O16" i="20"/>
  <c r="R16" i="20" s="1"/>
  <c r="P47" i="20"/>
  <c r="O47" i="20"/>
  <c r="R47" i="20" s="1"/>
  <c r="S47" i="20" s="1"/>
  <c r="P46" i="20"/>
  <c r="O46" i="20"/>
  <c r="R46" i="20" s="1"/>
  <c r="S46" i="20" s="1"/>
  <c r="P34" i="20"/>
  <c r="O34" i="20"/>
  <c r="R34" i="20" s="1"/>
  <c r="S34" i="20" s="1"/>
  <c r="P2" i="20"/>
  <c r="O2" i="20"/>
  <c r="R2" i="20" s="1"/>
  <c r="S2" i="20" s="1"/>
  <c r="P24" i="20"/>
  <c r="O24" i="20"/>
  <c r="R24" i="20" s="1"/>
  <c r="S24" i="20" s="1"/>
  <c r="P25" i="20"/>
  <c r="O25" i="20"/>
  <c r="R25" i="20" s="1"/>
  <c r="S25" i="20" s="1"/>
  <c r="P20" i="20"/>
  <c r="O20" i="20"/>
  <c r="R20" i="20" s="1"/>
  <c r="S20" i="20" s="1"/>
  <c r="P9" i="20"/>
  <c r="O9" i="20"/>
  <c r="R9" i="20" s="1"/>
  <c r="S9" i="20" s="1"/>
  <c r="P14" i="20"/>
  <c r="O14" i="20"/>
  <c r="R14" i="20" s="1"/>
  <c r="S14" i="20" s="1"/>
  <c r="P19" i="20"/>
  <c r="O19" i="20"/>
  <c r="R19" i="20" s="1"/>
  <c r="S19" i="20" s="1"/>
  <c r="P4" i="20"/>
  <c r="O4" i="20"/>
  <c r="R4" i="20" s="1"/>
  <c r="S4" i="20" s="1"/>
  <c r="P21" i="20"/>
  <c r="O21" i="20"/>
  <c r="R21" i="20" s="1"/>
  <c r="S21" i="20" s="1"/>
  <c r="P38" i="20"/>
  <c r="O38" i="20"/>
  <c r="R38" i="20" s="1"/>
  <c r="S38" i="20" s="1"/>
  <c r="P23" i="20"/>
  <c r="O23" i="20"/>
  <c r="R23" i="20" s="1"/>
  <c r="S23" i="20" s="1"/>
  <c r="P36" i="20"/>
  <c r="O36" i="20"/>
  <c r="R36" i="20" s="1"/>
  <c r="S36" i="20" s="1"/>
  <c r="P12" i="20"/>
  <c r="O12" i="20"/>
  <c r="R12" i="20" s="1"/>
  <c r="S12" i="20" s="1"/>
  <c r="P37" i="20"/>
  <c r="O37" i="20"/>
  <c r="R37" i="20" s="1"/>
  <c r="S37" i="20" s="1"/>
  <c r="P44" i="20"/>
  <c r="O44" i="20"/>
  <c r="R44" i="20" s="1"/>
  <c r="S44" i="20" s="1"/>
  <c r="P26" i="20"/>
  <c r="O26" i="20"/>
  <c r="R26" i="20" s="1"/>
  <c r="S26" i="20" s="1"/>
  <c r="P32" i="20"/>
  <c r="O32" i="20"/>
  <c r="R32" i="20" s="1"/>
  <c r="S32" i="20" s="1"/>
  <c r="P22" i="20"/>
  <c r="O22" i="20"/>
  <c r="R22" i="20" s="1"/>
  <c r="S22" i="20" s="1"/>
  <c r="P17" i="20"/>
  <c r="O17" i="20"/>
  <c r="R17" i="20" s="1"/>
  <c r="S17" i="20" s="1"/>
  <c r="P35" i="20"/>
  <c r="O35" i="20"/>
  <c r="R35" i="20" s="1"/>
  <c r="S35" i="20" s="1"/>
  <c r="P40" i="20"/>
  <c r="O40" i="20"/>
  <c r="R40" i="20" s="1"/>
  <c r="S40" i="20" s="1"/>
  <c r="P10" i="20"/>
  <c r="O10" i="20"/>
  <c r="R10" i="20" s="1"/>
  <c r="S10" i="20" s="1"/>
  <c r="P11" i="20"/>
  <c r="O11" i="20"/>
  <c r="R11" i="20" s="1"/>
  <c r="S11" i="20" s="1"/>
  <c r="P42" i="20"/>
  <c r="O42" i="20"/>
  <c r="R42" i="20" s="1"/>
  <c r="S42" i="20" s="1"/>
  <c r="P3" i="20"/>
  <c r="O3" i="20"/>
  <c r="R3" i="20" s="1"/>
  <c r="S3" i="20" s="1"/>
  <c r="P8" i="20"/>
  <c r="O8" i="20"/>
  <c r="R8" i="20" s="1"/>
  <c r="S8" i="20" s="1"/>
  <c r="P45" i="20"/>
  <c r="O45" i="20"/>
  <c r="R45" i="20" s="1"/>
  <c r="S45" i="20" s="1"/>
  <c r="P7" i="20"/>
  <c r="O7" i="20"/>
  <c r="R7" i="20" s="1"/>
  <c r="S7" i="20" s="1"/>
  <c r="P18" i="20"/>
  <c r="O18" i="20"/>
  <c r="R18" i="20" s="1"/>
  <c r="S18" i="20" s="1"/>
  <c r="P15" i="20"/>
  <c r="O15" i="20"/>
  <c r="R15" i="20" s="1"/>
  <c r="S15" i="20" s="1"/>
  <c r="P33" i="20"/>
  <c r="O33" i="20"/>
  <c r="R33" i="20" s="1"/>
  <c r="S33" i="20" s="1"/>
  <c r="P12" i="21"/>
  <c r="O12" i="21"/>
  <c r="R12" i="21" s="1"/>
  <c r="S12" i="21" s="1"/>
  <c r="P39" i="21"/>
  <c r="O39" i="21"/>
  <c r="R39" i="21" s="1"/>
  <c r="S39" i="21" s="1"/>
  <c r="P43" i="21"/>
  <c r="O43" i="21"/>
  <c r="R43" i="21" s="1"/>
  <c r="S43" i="21" s="1"/>
  <c r="P40" i="21"/>
  <c r="O40" i="21"/>
  <c r="R40" i="21" s="1"/>
  <c r="S40" i="21" s="1"/>
  <c r="P20" i="21"/>
  <c r="O20" i="21"/>
  <c r="R20" i="21" s="1"/>
  <c r="S20" i="21" s="1"/>
  <c r="P26" i="21"/>
  <c r="O26" i="21"/>
  <c r="R26" i="21" s="1"/>
  <c r="S26" i="21" s="1"/>
  <c r="P59" i="21"/>
  <c r="O59" i="21"/>
  <c r="R59" i="21" s="1"/>
  <c r="S59" i="21" s="1"/>
  <c r="P47" i="21"/>
  <c r="O47" i="21"/>
  <c r="R47" i="21" s="1"/>
  <c r="S47" i="21" s="1"/>
  <c r="P42" i="21"/>
  <c r="O42" i="21"/>
  <c r="R42" i="21" s="1"/>
  <c r="S42" i="21" s="1"/>
  <c r="P33" i="21"/>
  <c r="O33" i="21"/>
  <c r="R33" i="21" s="1"/>
  <c r="S33" i="21" s="1"/>
  <c r="P34" i="21"/>
  <c r="O34" i="21"/>
  <c r="R34" i="21" s="1"/>
  <c r="S34" i="21" s="1"/>
  <c r="P14" i="21"/>
  <c r="O14" i="21"/>
  <c r="R14" i="21" s="1"/>
  <c r="S14" i="21" s="1"/>
  <c r="P36" i="21"/>
  <c r="O36" i="21"/>
  <c r="R36" i="21" s="1"/>
  <c r="S36" i="21" s="1"/>
  <c r="P11" i="21"/>
  <c r="O11" i="21"/>
  <c r="R11" i="21" s="1"/>
  <c r="S11" i="21" s="1"/>
  <c r="P2" i="21"/>
  <c r="R2" i="21"/>
  <c r="S2" i="21" s="1"/>
  <c r="P5" i="21"/>
  <c r="O5" i="21"/>
  <c r="R5" i="21" s="1"/>
  <c r="S5" i="21" s="1"/>
  <c r="P19" i="21"/>
  <c r="O19" i="21"/>
  <c r="R19" i="21" s="1"/>
  <c r="S19" i="21" s="1"/>
  <c r="P7" i="21"/>
  <c r="O7" i="21"/>
  <c r="R7" i="21" s="1"/>
  <c r="S7" i="21" s="1"/>
  <c r="P27" i="21"/>
  <c r="O27" i="21"/>
  <c r="R27" i="21" s="1"/>
  <c r="S27" i="21" s="1"/>
  <c r="P21" i="21"/>
  <c r="O21" i="21"/>
  <c r="R21" i="21" s="1"/>
  <c r="S21" i="21" s="1"/>
  <c r="P25" i="21"/>
  <c r="O25" i="21"/>
  <c r="R25" i="21" s="1"/>
  <c r="S25" i="21" s="1"/>
  <c r="P9" i="21"/>
  <c r="O9" i="21"/>
  <c r="R9" i="21" s="1"/>
  <c r="P24" i="21"/>
  <c r="O24" i="21"/>
  <c r="R24" i="21" s="1"/>
  <c r="S24" i="21" s="1"/>
  <c r="P45" i="21"/>
  <c r="O45" i="21"/>
  <c r="R45" i="21" s="1"/>
  <c r="S45" i="21" s="1"/>
  <c r="P44" i="21"/>
  <c r="O44" i="21"/>
  <c r="R44" i="21" s="1"/>
  <c r="S44" i="21" s="1"/>
  <c r="P10" i="21"/>
  <c r="O10" i="21"/>
  <c r="R10" i="21" s="1"/>
  <c r="S10" i="21" s="1"/>
  <c r="P3" i="21"/>
  <c r="O3" i="21"/>
  <c r="R3" i="21" s="1"/>
  <c r="S3" i="21" s="1"/>
  <c r="P38" i="21"/>
  <c r="O38" i="21"/>
  <c r="R38" i="21" s="1"/>
  <c r="S38" i="21" s="1"/>
  <c r="P23" i="21"/>
  <c r="O23" i="21"/>
  <c r="R23" i="21" s="1"/>
  <c r="S23" i="21" s="1"/>
  <c r="P13" i="21"/>
  <c r="O13" i="21"/>
  <c r="R13" i="21" s="1"/>
  <c r="S13" i="21" s="1"/>
  <c r="P16" i="21"/>
  <c r="O16" i="21"/>
  <c r="R16" i="21" s="1"/>
  <c r="S16" i="21" s="1"/>
  <c r="P22" i="21"/>
  <c r="O22" i="21"/>
  <c r="R22" i="21" s="1"/>
  <c r="S22" i="21" s="1"/>
  <c r="P15" i="21"/>
  <c r="O15" i="21"/>
  <c r="R15" i="21" s="1"/>
  <c r="S15" i="21" s="1"/>
  <c r="P46" i="21"/>
  <c r="O46" i="21"/>
  <c r="R46" i="21" s="1"/>
  <c r="S46" i="21" s="1"/>
  <c r="P48" i="21"/>
  <c r="O48" i="21"/>
  <c r="R48" i="21" s="1"/>
  <c r="S48" i="21" s="1"/>
  <c r="P8" i="21"/>
  <c r="O8" i="21"/>
  <c r="R8" i="21" s="1"/>
  <c r="S8" i="21" s="1"/>
  <c r="P37" i="21"/>
  <c r="O37" i="21"/>
  <c r="R37" i="21" s="1"/>
  <c r="S37" i="21" s="1"/>
  <c r="P41" i="21"/>
  <c r="O41" i="21"/>
  <c r="R41" i="21" s="1"/>
  <c r="S41" i="21" s="1"/>
  <c r="P17" i="21"/>
  <c r="O17" i="21"/>
  <c r="R17" i="21" s="1"/>
  <c r="S17" i="21" s="1"/>
  <c r="P35" i="21"/>
  <c r="O35" i="21"/>
  <c r="R35" i="21" s="1"/>
  <c r="S35" i="21" s="1"/>
  <c r="P18" i="21"/>
  <c r="O18" i="21"/>
  <c r="R18" i="21" s="1"/>
  <c r="S18" i="21" s="1"/>
  <c r="Q21" i="23"/>
  <c r="O21" i="23"/>
  <c r="S21" i="23" s="1"/>
  <c r="Q28" i="23"/>
  <c r="O28" i="23"/>
  <c r="S28" i="23" s="1"/>
  <c r="Q10" i="23"/>
  <c r="O10" i="23"/>
  <c r="S10" i="23" s="1"/>
  <c r="Q30" i="23"/>
  <c r="P30" i="23"/>
  <c r="S30" i="23" s="1"/>
  <c r="O30" i="23"/>
  <c r="Q6" i="23"/>
  <c r="O6" i="23"/>
  <c r="S6" i="23" s="1"/>
  <c r="Q32" i="23"/>
  <c r="O32" i="23"/>
  <c r="S32" i="23" s="1"/>
  <c r="Q15" i="23"/>
  <c r="O15" i="23"/>
  <c r="S15" i="23" s="1"/>
  <c r="Q26" i="23"/>
  <c r="O26" i="23"/>
  <c r="S26" i="23" s="1"/>
  <c r="Q22" i="23"/>
  <c r="O22" i="23"/>
  <c r="S22" i="23" s="1"/>
  <c r="Q20" i="23"/>
  <c r="O20" i="23"/>
  <c r="S20" i="23" s="1"/>
  <c r="Q2" i="23"/>
  <c r="O2" i="23"/>
  <c r="S2" i="23" s="1"/>
  <c r="Q17" i="23"/>
  <c r="O17" i="23"/>
  <c r="R17" i="23" s="1"/>
  <c r="Q3" i="23"/>
  <c r="O3" i="23"/>
  <c r="S3" i="23" s="1"/>
  <c r="Q14" i="23"/>
  <c r="O14" i="23"/>
  <c r="S14" i="23" s="1"/>
  <c r="Q9" i="23"/>
  <c r="O9" i="23"/>
  <c r="R9" i="23" s="1"/>
  <c r="Q31" i="23"/>
  <c r="O31" i="23"/>
  <c r="S31" i="23" s="1"/>
  <c r="Q16" i="23"/>
  <c r="O16" i="23"/>
  <c r="S16" i="23" s="1"/>
  <c r="Q29" i="23"/>
  <c r="O29" i="23"/>
  <c r="S29" i="23" s="1"/>
  <c r="Q25" i="23"/>
  <c r="O25" i="23"/>
  <c r="S25" i="23" s="1"/>
  <c r="Q5" i="23"/>
  <c r="O5" i="23"/>
  <c r="S5" i="23" s="1"/>
  <c r="Q11" i="23"/>
  <c r="O11" i="23"/>
  <c r="S11" i="23" s="1"/>
  <c r="Q8" i="23"/>
  <c r="O8" i="23"/>
  <c r="S8" i="23" s="1"/>
  <c r="Q18" i="23"/>
  <c r="O18" i="23"/>
  <c r="S18" i="23" s="1"/>
  <c r="Q12" i="23"/>
  <c r="O12" i="23"/>
  <c r="S12" i="23" s="1"/>
  <c r="Q27" i="23"/>
  <c r="O27" i="23"/>
  <c r="S27" i="23" s="1"/>
  <c r="Q19" i="23"/>
  <c r="O19" i="23"/>
  <c r="R19" i="23" s="1"/>
  <c r="S19" i="23" l="1"/>
  <c r="S9" i="23"/>
  <c r="S17" i="23"/>
  <c r="R28" i="23"/>
  <c r="R21" i="23"/>
  <c r="R10" i="23"/>
  <c r="R30" i="23"/>
  <c r="R6" i="23"/>
  <c r="R32" i="23"/>
  <c r="R15" i="23"/>
  <c r="R26" i="23"/>
  <c r="R22" i="23"/>
  <c r="R20" i="23"/>
  <c r="R2" i="23"/>
  <c r="R14" i="23"/>
  <c r="R3" i="23"/>
  <c r="R16" i="23"/>
  <c r="R31" i="23"/>
  <c r="R29" i="23"/>
  <c r="R5" i="23"/>
  <c r="R25" i="23"/>
  <c r="R11" i="23"/>
  <c r="R8" i="23"/>
  <c r="R12" i="23"/>
  <c r="R18" i="23"/>
  <c r="R27" i="23"/>
  <c r="O6" i="9" l="1"/>
  <c r="O7" i="9"/>
  <c r="O8" i="9"/>
  <c r="O9" i="9"/>
  <c r="O10" i="9"/>
  <c r="O11" i="9"/>
  <c r="O12" i="9"/>
  <c r="O13" i="9"/>
  <c r="O14" i="9"/>
  <c r="O15" i="9"/>
  <c r="O16" i="9"/>
  <c r="O17" i="9"/>
  <c r="O3" i="9"/>
  <c r="O4" i="9"/>
  <c r="O2" i="9"/>
  <c r="O18" i="9"/>
  <c r="O28" i="9"/>
  <c r="O27" i="9"/>
  <c r="O38" i="9"/>
  <c r="O39" i="9"/>
  <c r="O32" i="9"/>
  <c r="O36" i="9"/>
  <c r="O35" i="9"/>
  <c r="O21" i="9"/>
  <c r="O22" i="9"/>
  <c r="O26" i="9"/>
  <c r="O34" i="9"/>
  <c r="O40" i="9"/>
  <c r="O24" i="9"/>
  <c r="O33" i="9"/>
  <c r="O29" i="9"/>
  <c r="O25" i="9"/>
  <c r="O23" i="9"/>
  <c r="O20" i="9"/>
  <c r="O30" i="9"/>
  <c r="O41" i="9"/>
  <c r="O31" i="9"/>
  <c r="O52" i="9"/>
  <c r="O51" i="9"/>
  <c r="O56" i="9"/>
  <c r="O44" i="9"/>
  <c r="O42" i="9"/>
  <c r="O50" i="9"/>
  <c r="O57" i="9"/>
  <c r="O53" i="9"/>
  <c r="O54" i="9"/>
  <c r="O47" i="9"/>
  <c r="O55" i="9"/>
  <c r="O45" i="9"/>
  <c r="O49" i="9"/>
  <c r="O48" i="9"/>
  <c r="O43" i="9"/>
  <c r="O58" i="9"/>
  <c r="O46" i="9"/>
  <c r="O5" i="9"/>
  <c r="P9" i="10"/>
  <c r="P13" i="10"/>
  <c r="P4" i="10"/>
  <c r="P7" i="10"/>
  <c r="P3" i="10"/>
  <c r="P11" i="10"/>
  <c r="P14" i="10"/>
  <c r="P16" i="10"/>
  <c r="P10" i="10"/>
  <c r="P2" i="10"/>
  <c r="P17" i="10"/>
  <c r="P6" i="10"/>
  <c r="P18" i="10"/>
  <c r="P15" i="10"/>
  <c r="P8" i="10"/>
  <c r="P26" i="10"/>
  <c r="P34" i="10"/>
  <c r="P24" i="10"/>
  <c r="P30" i="10"/>
  <c r="P21" i="10"/>
  <c r="P27" i="10"/>
  <c r="P20" i="10"/>
  <c r="P31" i="10"/>
  <c r="P32" i="10"/>
  <c r="P28" i="10"/>
  <c r="P29" i="10"/>
  <c r="P22" i="10"/>
  <c r="P25" i="10"/>
  <c r="P23" i="10"/>
  <c r="P19" i="10"/>
  <c r="P33" i="10"/>
  <c r="P42" i="10"/>
  <c r="P51" i="10"/>
  <c r="P67" i="10"/>
  <c r="P53" i="10"/>
  <c r="P43" i="10"/>
  <c r="P45" i="10"/>
  <c r="P62" i="10"/>
  <c r="P40" i="10"/>
  <c r="P49" i="10"/>
  <c r="P63" i="10"/>
  <c r="P50" i="10"/>
  <c r="P41" i="10"/>
  <c r="P59" i="10"/>
  <c r="P37" i="10"/>
  <c r="P46" i="10"/>
  <c r="P48" i="10"/>
  <c r="P68" i="10"/>
  <c r="P58" i="10"/>
  <c r="P52" i="10"/>
  <c r="P44" i="10"/>
  <c r="P60" i="10"/>
  <c r="P56" i="10"/>
  <c r="P38" i="10"/>
  <c r="P54" i="10"/>
  <c r="P47" i="10"/>
  <c r="P66" i="10"/>
  <c r="P55" i="10"/>
  <c r="P65" i="10"/>
  <c r="P39" i="10"/>
  <c r="P36" i="10"/>
  <c r="P61" i="10"/>
  <c r="P64" i="10"/>
  <c r="P57" i="10"/>
  <c r="P69" i="10"/>
  <c r="P35" i="10"/>
  <c r="P12" i="10"/>
  <c r="A1" i="26" l="1"/>
  <c r="A1" i="23"/>
  <c r="O183" i="20" l="1"/>
</calcChain>
</file>

<file path=xl/sharedStrings.xml><?xml version="1.0" encoding="utf-8"?>
<sst xmlns="http://schemas.openxmlformats.org/spreadsheetml/2006/main" count="6725" uniqueCount="1278">
  <si>
    <t>ردیف</t>
  </si>
  <si>
    <t>نام و نام خانوادگی</t>
  </si>
  <si>
    <t>کد ملی</t>
  </si>
  <si>
    <t>مقطع تحصیلی</t>
  </si>
  <si>
    <t>عنوان رشته</t>
  </si>
  <si>
    <t>جمع 100</t>
  </si>
  <si>
    <t>صوت 20</t>
  </si>
  <si>
    <t>لحن 30</t>
  </si>
  <si>
    <t>تجوید 35</t>
  </si>
  <si>
    <t>وقف و ابتدا 15</t>
  </si>
  <si>
    <t>صوت 30</t>
  </si>
  <si>
    <t>زبان بدن 20</t>
  </si>
  <si>
    <t>پیکربندی کلام 15</t>
  </si>
  <si>
    <t>وقف و ابتدا
 10</t>
  </si>
  <si>
    <t>گروه</t>
  </si>
  <si>
    <t>ملیت</t>
  </si>
  <si>
    <t>جنسیت</t>
  </si>
  <si>
    <t>دانشگاه/دستگاه</t>
  </si>
  <si>
    <t>ملاحظات</t>
  </si>
  <si>
    <t>حس معنوی 3</t>
  </si>
  <si>
    <t>اصول اجرا 7</t>
  </si>
  <si>
    <t>مدح یا روضه (40)</t>
  </si>
  <si>
    <t>جمع امتیاز (100)</t>
  </si>
  <si>
    <t>ویژگی‌های لحن و بیان 30</t>
  </si>
  <si>
    <t>استاد</t>
  </si>
  <si>
    <t>کارمند</t>
  </si>
  <si>
    <t>دانشجو</t>
  </si>
  <si>
    <t>مازندران</t>
  </si>
  <si>
    <t>سیرجان</t>
  </si>
  <si>
    <t>گناباد</t>
  </si>
  <si>
    <t>شهرکرد</t>
  </si>
  <si>
    <t>اصوات و الحان (30)</t>
  </si>
  <si>
    <t>ساوه</t>
  </si>
  <si>
    <t>محتوای مناسب و اصول و موارد فنی 35</t>
  </si>
  <si>
    <t>گیلان</t>
  </si>
  <si>
    <t>صحت قرائت و فصاحت متن عربی (30)</t>
  </si>
  <si>
    <t>صحت قرائت و فصاحت متن فارسی (35)</t>
  </si>
  <si>
    <t>اجرای ممتاز(10)</t>
  </si>
  <si>
    <t>صوت 10</t>
  </si>
  <si>
    <t>لحن 15</t>
  </si>
  <si>
    <t>اردبیل</t>
  </si>
  <si>
    <t>صحت قرائت
 20</t>
  </si>
  <si>
    <t>لحن (35)</t>
  </si>
  <si>
    <t>صوت (45)</t>
  </si>
  <si>
    <t>اصول و فنون (20)</t>
  </si>
  <si>
    <t xml:space="preserve"> صحت حفظ 100</t>
  </si>
  <si>
    <t>مجموع نمرات100</t>
  </si>
  <si>
    <t>جمع کل 200</t>
  </si>
  <si>
    <t>صحت حفظ 70 درصد</t>
  </si>
  <si>
    <t>مجموع امتیاز از 100 درصد</t>
  </si>
  <si>
    <t>شماره تماس</t>
  </si>
  <si>
    <t>کدملی</t>
  </si>
  <si>
    <t>علوم پزشکی کرمان</t>
  </si>
  <si>
    <t>دانشگاه علوم پزشکی شیراز</t>
  </si>
  <si>
    <t>دانشگاه علوم پزشکی مشهد</t>
  </si>
  <si>
    <t>علوم پزشکی لرستان</t>
  </si>
  <si>
    <t>علوم پزشکی بوشهر</t>
  </si>
  <si>
    <t>علوم پزشکی یاسوج</t>
  </si>
  <si>
    <t>علوم پزشکی یزد</t>
  </si>
  <si>
    <t>علوم پزشکی گلستان</t>
  </si>
  <si>
    <t>دانشگاه علوم پزشکی کرمانشاه</t>
  </si>
  <si>
    <t>دانشگاه علوم پزشکی کاشان</t>
  </si>
  <si>
    <t>دانشگاه علوم پزشکی قزوین</t>
  </si>
  <si>
    <t>علوم پزشکی فسا</t>
  </si>
  <si>
    <t>علوم پزشکی شهید بهشتی</t>
  </si>
  <si>
    <t>دانشگاه علوم پزشکی زنجان</t>
  </si>
  <si>
    <t xml:space="preserve">علوم پزشکی دزفول </t>
  </si>
  <si>
    <t xml:space="preserve">دانشجو </t>
  </si>
  <si>
    <t>جیرفت</t>
  </si>
  <si>
    <t>تهران</t>
  </si>
  <si>
    <t>قم</t>
  </si>
  <si>
    <t>کردستان</t>
  </si>
  <si>
    <t>تبریز</t>
  </si>
  <si>
    <t>آبادان</t>
  </si>
  <si>
    <t>البرز</t>
  </si>
  <si>
    <t>اصفهان</t>
  </si>
  <si>
    <t>ایران</t>
  </si>
  <si>
    <t>علوم توانبخشی</t>
  </si>
  <si>
    <t>بهبهان</t>
  </si>
  <si>
    <t>ایرانی</t>
  </si>
  <si>
    <t>دانشگاه علوم پزشکی اراک</t>
  </si>
  <si>
    <t>دکترا</t>
  </si>
  <si>
    <t>تحقیق</t>
  </si>
  <si>
    <t>کارشناسی</t>
  </si>
  <si>
    <t>دانشکده علوم پزشکی اسفراین</t>
  </si>
  <si>
    <t>قرائت تحقیق</t>
  </si>
  <si>
    <t>کارشناسی ارشد</t>
  </si>
  <si>
    <t>علوم پزشکی بابل</t>
  </si>
  <si>
    <t>پزشکی</t>
  </si>
  <si>
    <t>دکتری تخصصی</t>
  </si>
  <si>
    <t>شاهد</t>
  </si>
  <si>
    <t>فوق تخصص</t>
  </si>
  <si>
    <t>دانشجویان</t>
  </si>
  <si>
    <t xml:space="preserve">قرائت تحقیق </t>
  </si>
  <si>
    <t xml:space="preserve">ارشد </t>
  </si>
  <si>
    <t>کارمندان</t>
  </si>
  <si>
    <t xml:space="preserve">کارشناسی </t>
  </si>
  <si>
    <t xml:space="preserve">دکترا پزشک عمومی </t>
  </si>
  <si>
    <t>پرستاری</t>
  </si>
  <si>
    <t>علوم پزشکی لارستان</t>
  </si>
  <si>
    <t>علوم پزشکی مشهد</t>
  </si>
  <si>
    <t>دکتری</t>
  </si>
  <si>
    <t>ارشد</t>
  </si>
  <si>
    <t xml:space="preserve">ایرانی </t>
  </si>
  <si>
    <t xml:space="preserve">کارمند </t>
  </si>
  <si>
    <t xml:space="preserve">دانشگاه ع پ استان سمنان </t>
  </si>
  <si>
    <t>دانشگاه علوم پزشکی ارتش</t>
  </si>
  <si>
    <t>وزارت بهداشت</t>
  </si>
  <si>
    <t>دکترای عمومی</t>
  </si>
  <si>
    <t>ترتیل</t>
  </si>
  <si>
    <t>دکترای تخصصی</t>
  </si>
  <si>
    <t>دانشکده علوم پزشکی اسدآباد</t>
  </si>
  <si>
    <t>قرائت ترتیل</t>
  </si>
  <si>
    <t>علوم پزشکی جندی شاپور اهواز</t>
  </si>
  <si>
    <t>علوم پزشکی ایران</t>
  </si>
  <si>
    <t xml:space="preserve">علوم پزشکی بم </t>
  </si>
  <si>
    <t xml:space="preserve">قرائت ترتیل </t>
  </si>
  <si>
    <t>دکترا تخصصی</t>
  </si>
  <si>
    <t>دانشکده علوم پزشکی تربت جام</t>
  </si>
  <si>
    <t>کاردانی</t>
  </si>
  <si>
    <t>علوم پزشکی تربت حیدریه</t>
  </si>
  <si>
    <t>کارشناس ارشد</t>
  </si>
  <si>
    <t>علوم پزشکی خراسان شمالی</t>
  </si>
  <si>
    <t>دانشکده خمین</t>
  </si>
  <si>
    <t>دانشکده علوم پزشکی خوی</t>
  </si>
  <si>
    <t xml:space="preserve">ترتیل </t>
  </si>
  <si>
    <t>علوم پزشکی زابل</t>
  </si>
  <si>
    <t>دانشگاه علوم پزشکی زاهدان</t>
  </si>
  <si>
    <t>غیر ایرانی</t>
  </si>
  <si>
    <t xml:space="preserve">غیر ایرانی </t>
  </si>
  <si>
    <t xml:space="preserve">علوم پزشکی فسا </t>
  </si>
  <si>
    <t>دکترای حرفه ای</t>
  </si>
  <si>
    <t>دانشگاه علوم پزشکی قم</t>
  </si>
  <si>
    <t xml:space="preserve">دکترا </t>
  </si>
  <si>
    <t>اساتید</t>
  </si>
  <si>
    <t>دانشکده علوم پزشکی گراش</t>
  </si>
  <si>
    <t>کارشناسی بهداشت</t>
  </si>
  <si>
    <t>علوم پزشکی نیشابور</t>
  </si>
  <si>
    <t>قرائت به روش ترتیل</t>
  </si>
  <si>
    <t>علوم پزشکی ارومیه</t>
  </si>
  <si>
    <t>دعاخوانی</t>
  </si>
  <si>
    <t>دعا خوانی</t>
  </si>
  <si>
    <t xml:space="preserve">دانشگاه علوم پزشکی جهرم </t>
  </si>
  <si>
    <t xml:space="preserve">دعا خوانی </t>
  </si>
  <si>
    <t xml:space="preserve">دعاخوانی  </t>
  </si>
  <si>
    <t xml:space="preserve">دعاخوانی </t>
  </si>
  <si>
    <t>مداحی</t>
  </si>
  <si>
    <t xml:space="preserve">مداحی </t>
  </si>
  <si>
    <t>ترجمه خوانی</t>
  </si>
  <si>
    <t>تخصص</t>
  </si>
  <si>
    <t>دانشگاه علوم پزشکی بوشهر</t>
  </si>
  <si>
    <t>ترجمه خوانی قرآن</t>
  </si>
  <si>
    <t xml:space="preserve">ترجمه خوانی </t>
  </si>
  <si>
    <t xml:space="preserve">کارشناسی ارشد </t>
  </si>
  <si>
    <t xml:space="preserve">ترجمه خوانی قرآن </t>
  </si>
  <si>
    <t>ترجمه خوانی قرآنی</t>
  </si>
  <si>
    <t>دکترای پزشکی</t>
  </si>
  <si>
    <t xml:space="preserve">استاد </t>
  </si>
  <si>
    <t>ترجمه خوانی قرآن کریم</t>
  </si>
  <si>
    <t>علوم پزشکی هرمزگان</t>
  </si>
  <si>
    <t>آئین سخنوری</t>
  </si>
  <si>
    <t>سخنوری</t>
  </si>
  <si>
    <t>آیین سخنوری</t>
  </si>
  <si>
    <t>سخنوری آیینی</t>
  </si>
  <si>
    <t>دانشجوی مقطع کارشناسی</t>
  </si>
  <si>
    <t xml:space="preserve">سخنوری  </t>
  </si>
  <si>
    <t xml:space="preserve">سخنوری </t>
  </si>
  <si>
    <t>سیدمحد هاشمی</t>
  </si>
  <si>
    <t>مرد</t>
  </si>
  <si>
    <t>شهاب نعمتی</t>
  </si>
  <si>
    <t>عادل معلاوی</t>
  </si>
  <si>
    <t>فخرالدین شریعت مداری</t>
  </si>
  <si>
    <t>علی اکبر سفید بری</t>
  </si>
  <si>
    <t>علیرضا حسین آباد</t>
  </si>
  <si>
    <t>حمید رضا زهری</t>
  </si>
  <si>
    <t>احسان سعادت نوری</t>
  </si>
  <si>
    <t>وحید عمادی براتی</t>
  </si>
  <si>
    <t>محسن امینی فر</t>
  </si>
  <si>
    <t>کارکنان</t>
  </si>
  <si>
    <t>سعید زرگان</t>
  </si>
  <si>
    <t>علی اشرف حسن پور</t>
  </si>
  <si>
    <t>امیرمحمد آزادی</t>
  </si>
  <si>
    <t>علوم پزشکی ایلام</t>
  </si>
  <si>
    <t>مهدی عزیزی</t>
  </si>
  <si>
    <t>روح اله مولایی</t>
  </si>
  <si>
    <t>علی فرمان زاده</t>
  </si>
  <si>
    <t>محمد مهدی شمس</t>
  </si>
  <si>
    <t xml:space="preserve">محمد صیادی </t>
  </si>
  <si>
    <t xml:space="preserve">قرائت  تحقیق </t>
  </si>
  <si>
    <t xml:space="preserve">محسن حاجی زاده </t>
  </si>
  <si>
    <t xml:space="preserve">مرد </t>
  </si>
  <si>
    <t>فرید پدیدار</t>
  </si>
  <si>
    <t>حامد یوسفی</t>
  </si>
  <si>
    <t>رضا دهقانی</t>
  </si>
  <si>
    <t>امیر رضا احمدی</t>
  </si>
  <si>
    <t>عباس تقی زاده</t>
  </si>
  <si>
    <t>علوم پزشکی بیرجند</t>
  </si>
  <si>
    <t>عبدالله عبداللهی</t>
  </si>
  <si>
    <t>مهدی محمدزاده</t>
  </si>
  <si>
    <t>مجید آسیابان</t>
  </si>
  <si>
    <t>محمدمهدی باقری</t>
  </si>
  <si>
    <t>محمدرضا غلامی</t>
  </si>
  <si>
    <t>سيدرضا هاشمي</t>
  </si>
  <si>
    <t>علی مخبر</t>
  </si>
  <si>
    <t>مهدی قانعی</t>
  </si>
  <si>
    <t>غلام حیدری</t>
  </si>
  <si>
    <t>حسین مردانی</t>
  </si>
  <si>
    <t>حسین کلوطی</t>
  </si>
  <si>
    <t>مجید غیاثوند</t>
  </si>
  <si>
    <t xml:space="preserve">علیرضا جامعی </t>
  </si>
  <si>
    <t>مهدی مهدوی پناه</t>
  </si>
  <si>
    <t>ابوالحسن صفدری</t>
  </si>
  <si>
    <t>علی جعفری</t>
  </si>
  <si>
    <t>مصطفی بازرگان</t>
  </si>
  <si>
    <t>حسین عباسی</t>
  </si>
  <si>
    <t>ناصرمیرزایی</t>
  </si>
  <si>
    <t>حسین روشنی</t>
  </si>
  <si>
    <t>میثم نوری</t>
  </si>
  <si>
    <t>ناطق میثمی</t>
  </si>
  <si>
    <t>معین سیاهکوهی</t>
  </si>
  <si>
    <t>محمدیاسین خدری</t>
  </si>
  <si>
    <t xml:space="preserve">دانشجوی رشته پزشکی </t>
  </si>
  <si>
    <t>امیرمحمد معصومی</t>
  </si>
  <si>
    <t>آقا</t>
  </si>
  <si>
    <t>محمد مهدی طادی</t>
  </si>
  <si>
    <t>محمد مهدی اسلامی</t>
  </si>
  <si>
    <t>سیدعبدالله میراحمدی</t>
  </si>
  <si>
    <t>سیدسهیل موسوی</t>
  </si>
  <si>
    <t>محمدصالح آب خضر</t>
  </si>
  <si>
    <t>مهدی قربانی</t>
  </si>
  <si>
    <t>حمزه فیاض</t>
  </si>
  <si>
    <t>دانشجو(بین الملل)</t>
  </si>
  <si>
    <t>نیما اعتمادپور</t>
  </si>
  <si>
    <t>علیرضا انجم شعاع</t>
  </si>
  <si>
    <t xml:space="preserve">علیرضا پاک سرشت </t>
  </si>
  <si>
    <t xml:space="preserve">حمید مرادی </t>
  </si>
  <si>
    <t xml:space="preserve">سید محمد رضا منصوری </t>
  </si>
  <si>
    <t>سید مجتبی محتشم شاد</t>
  </si>
  <si>
    <t>محمد نریمانی</t>
  </si>
  <si>
    <t>محمد مهدی حلیمی</t>
  </si>
  <si>
    <t>دیپلم</t>
  </si>
  <si>
    <t>سعید آزاد پیمان</t>
  </si>
  <si>
    <t>سید محمد امین موسی زاده</t>
  </si>
  <si>
    <t>محسن حدادی</t>
  </si>
  <si>
    <t xml:space="preserve">امیر حسین عاطفی </t>
  </si>
  <si>
    <t xml:space="preserve">محمد رضا پور صدری </t>
  </si>
  <si>
    <t xml:space="preserve">جواد دوست محمدی </t>
  </si>
  <si>
    <t xml:space="preserve">دیپلم </t>
  </si>
  <si>
    <t xml:space="preserve">محمد رضا مظفری نژاد </t>
  </si>
  <si>
    <t xml:space="preserve">مصطفی یزدانی </t>
  </si>
  <si>
    <t xml:space="preserve">محمد رضا کاردان </t>
  </si>
  <si>
    <t>محمدحسن غلامی</t>
  </si>
  <si>
    <t>حسن پورسلطانی</t>
  </si>
  <si>
    <t xml:space="preserve">دکتر علی محمدی ضیاء </t>
  </si>
  <si>
    <t>اساتید آقا</t>
  </si>
  <si>
    <t xml:space="preserve">تحقیق </t>
  </si>
  <si>
    <t>احمدجواد مرادی</t>
  </si>
  <si>
    <t>دانشجویان آقا</t>
  </si>
  <si>
    <t>بنیامین زیتونلی</t>
  </si>
  <si>
    <t>کارکنان آقا</t>
  </si>
  <si>
    <t>حمید عبیدی</t>
  </si>
  <si>
    <t>محمد حسین کریمی</t>
  </si>
  <si>
    <t>مهدی شاکری</t>
  </si>
  <si>
    <t>اصغر  سپه وند</t>
  </si>
  <si>
    <t>وحید  کرمی</t>
  </si>
  <si>
    <t>ساسان  هادی پور</t>
  </si>
  <si>
    <t>رضا  صیادی</t>
  </si>
  <si>
    <t>محمد زمانی</t>
  </si>
  <si>
    <t>حسین محسنی پویا</t>
  </si>
  <si>
    <t>احسان معبودی</t>
  </si>
  <si>
    <t>مراغه</t>
  </si>
  <si>
    <t xml:space="preserve">احسان محمدی زاده </t>
  </si>
  <si>
    <t>قاسم خلیلیان موحد</t>
  </si>
  <si>
    <t>مهدی جوان</t>
  </si>
  <si>
    <t>محمد امین شکاری</t>
  </si>
  <si>
    <t>حسن خدائی</t>
  </si>
  <si>
    <t>سید ابوالفضل موسوی نژاد</t>
  </si>
  <si>
    <t>رضا قبدیان</t>
  </si>
  <si>
    <t>قرائت به روش تحقیق</t>
  </si>
  <si>
    <t>محمد مهدی مهدوی</t>
  </si>
  <si>
    <t>دانشگاه علوم پزشکی همدان</t>
  </si>
  <si>
    <t>سجاد افصحی</t>
  </si>
  <si>
    <t>سیدبهنام ادیبی</t>
  </si>
  <si>
    <t>حسین زمانی نسب</t>
  </si>
  <si>
    <t xml:space="preserve"> کارشناسی </t>
  </si>
  <si>
    <t>محمد دهقان چناری</t>
  </si>
  <si>
    <t>امیررضا حجی آبادی</t>
  </si>
  <si>
    <t>سعید باقرپور</t>
  </si>
  <si>
    <t>محمد امانی</t>
  </si>
  <si>
    <t xml:space="preserve">سید محمد امین غفاری نیا </t>
  </si>
  <si>
    <t>امیرعلی پورغلامی</t>
  </si>
  <si>
    <t xml:space="preserve">محمدایرج باقری ساوه </t>
  </si>
  <si>
    <t>سعید حیدری</t>
  </si>
  <si>
    <t>رسول سلطانی</t>
  </si>
  <si>
    <t>امیرحسین توکل پور</t>
  </si>
  <si>
    <t>محمد هادی طادی بنی</t>
  </si>
  <si>
    <t>محسن طهماسبی</t>
  </si>
  <si>
    <t>مسعود صرامی فروشانی</t>
  </si>
  <si>
    <t>محمد دهش</t>
  </si>
  <si>
    <t>بقیه الله عج</t>
  </si>
  <si>
    <t>محمدصادق هاشم زاده</t>
  </si>
  <si>
    <t>موید مطوری جزیره</t>
  </si>
  <si>
    <t>عادل حمودی</t>
  </si>
  <si>
    <t>مهدی عبودی</t>
  </si>
  <si>
    <t>حسین سلطانی نژاد</t>
  </si>
  <si>
    <t>احمد صفری</t>
  </si>
  <si>
    <t>محمد اتابک</t>
  </si>
  <si>
    <t>سید صالح سجادی</t>
  </si>
  <si>
    <t>محمد حسین جنیدی</t>
  </si>
  <si>
    <t>یوسف بسطامی</t>
  </si>
  <si>
    <t>امیرحسن حیدری امیدوار</t>
  </si>
  <si>
    <t>علی اصغر فیروزیان</t>
  </si>
  <si>
    <t>امید حیدری فر</t>
  </si>
  <si>
    <t>یاسین ایزانلو</t>
  </si>
  <si>
    <t>علی اصغر بهجت</t>
  </si>
  <si>
    <t>مهدی رضایی</t>
  </si>
  <si>
    <t>سید محمد حسینی</t>
  </si>
  <si>
    <t>مهدی صلاحی</t>
  </si>
  <si>
    <t>انتقال خون اردبیل</t>
  </si>
  <si>
    <t>محمود حزبه زاده</t>
  </si>
  <si>
    <t>رضا قوابش</t>
  </si>
  <si>
    <t>سجاد حمید</t>
  </si>
  <si>
    <t>سید مهدی حجازی</t>
  </si>
  <si>
    <t>عبدالرضا ساعدی</t>
  </si>
  <si>
    <t>سید محمد حسن حسینی</t>
  </si>
  <si>
    <t>محمد کاظم احمد گل</t>
  </si>
  <si>
    <t>مهرداد الماسی</t>
  </si>
  <si>
    <t>ولی الله کمالوندی</t>
  </si>
  <si>
    <t>علیرضا غلامی</t>
  </si>
  <si>
    <t>مرتضی اکبری</t>
  </si>
  <si>
    <t>یوسف محمدی</t>
  </si>
  <si>
    <t>احمدرضا حیدری نژاد</t>
  </si>
  <si>
    <t>محمد طاها کردی</t>
  </si>
  <si>
    <t>علی اصغر کیانژاد</t>
  </si>
  <si>
    <t>محمد رضا میرمیران</t>
  </si>
  <si>
    <t>محمد هادی یدا... پور</t>
  </si>
  <si>
    <t>شعبانعلی حسن تبار</t>
  </si>
  <si>
    <t xml:space="preserve">هادی خوشاب </t>
  </si>
  <si>
    <t xml:space="preserve">اساتید </t>
  </si>
  <si>
    <t xml:space="preserve">قرائت  ترتیل </t>
  </si>
  <si>
    <t xml:space="preserve">احمد پاپلی </t>
  </si>
  <si>
    <t>علیرضا اسکندری</t>
  </si>
  <si>
    <t>سعید مکاری زاده</t>
  </si>
  <si>
    <t>محمد امین بهرامی</t>
  </si>
  <si>
    <t>حسین فاتحی</t>
  </si>
  <si>
    <t>مهدی حیاتی</t>
  </si>
  <si>
    <t>محمد فیروز جمال زاده</t>
  </si>
  <si>
    <t>دندان پزشکی</t>
  </si>
  <si>
    <t>فریدون لعل</t>
  </si>
  <si>
    <t>مصطفی صباغ گل</t>
  </si>
  <si>
    <t>محمدرضا اسماعیلی</t>
  </si>
  <si>
    <t>سبحان قلی زاده</t>
  </si>
  <si>
    <t>علیرضا باقرزاده</t>
  </si>
  <si>
    <t>عیسی رنجبر</t>
  </si>
  <si>
    <t>امیر عزیزی بهروز</t>
  </si>
  <si>
    <t>عبدالناصر پوروثوقی</t>
  </si>
  <si>
    <t>محمدرضا فتوحی</t>
  </si>
  <si>
    <t>علی قدیم خانی</t>
  </si>
  <si>
    <t>مصطفی فیاضی</t>
  </si>
  <si>
    <t>بهنام مرادقلی</t>
  </si>
  <si>
    <t>رسول حبشی</t>
  </si>
  <si>
    <t>علی اکبر حسنی</t>
  </si>
  <si>
    <t>محمدمهدی ظهوری</t>
  </si>
  <si>
    <t>پزشکی عمومی</t>
  </si>
  <si>
    <t>احسان ربیعی</t>
  </si>
  <si>
    <t>عباس مومنی</t>
  </si>
  <si>
    <t>احمد رضا شمشیری</t>
  </si>
  <si>
    <t>مسلم شعبانی</t>
  </si>
  <si>
    <t>محمدهادی سلیمانی ساردو</t>
  </si>
  <si>
    <t>دلاور ریحانی</t>
  </si>
  <si>
    <t>سجاد صدوقی</t>
  </si>
  <si>
    <t>محمد مهدی زاهدی</t>
  </si>
  <si>
    <t>محمد درود</t>
  </si>
  <si>
    <t>محمد سعادتی شهرک</t>
  </si>
  <si>
    <t xml:space="preserve">دکتری PHD </t>
  </si>
  <si>
    <t xml:space="preserve">ماهان اوجاخقلی </t>
  </si>
  <si>
    <t>سجاد نجفی</t>
  </si>
  <si>
    <t xml:space="preserve">علی سلیمانی </t>
  </si>
  <si>
    <t xml:space="preserve">سید مهدی پیشوا </t>
  </si>
  <si>
    <t>مهدی علی محمدی</t>
  </si>
  <si>
    <t>علی بختیاری</t>
  </si>
  <si>
    <t>حسین جهانتیغ</t>
  </si>
  <si>
    <t>محمد امیری</t>
  </si>
  <si>
    <t>علیرضا رحمتی</t>
  </si>
  <si>
    <t>محمد دیانت طلب</t>
  </si>
  <si>
    <t>صمد ندری</t>
  </si>
  <si>
    <t>آرمین ازغ</t>
  </si>
  <si>
    <t>رضا نعمتی</t>
  </si>
  <si>
    <t>مرتضی رحیم سالم</t>
  </si>
  <si>
    <t xml:space="preserve">محمد مقدسی امیری </t>
  </si>
  <si>
    <t>رضا عابدینی</t>
  </si>
  <si>
    <t>محمد متین استکی</t>
  </si>
  <si>
    <t>امیر محمود زاده</t>
  </si>
  <si>
    <t>حمید محمودی</t>
  </si>
  <si>
    <t>ایمان آقابابائی نژاد</t>
  </si>
  <si>
    <t>شهنام فعلی</t>
  </si>
  <si>
    <t>سیدامین جزایری</t>
  </si>
  <si>
    <t>علی نصرتیان</t>
  </si>
  <si>
    <t>محمود بیات</t>
  </si>
  <si>
    <t>محمدحسین محمدخانی</t>
  </si>
  <si>
    <t>صفی اله توفیق زاده</t>
  </si>
  <si>
    <t>یعقوب اکبری</t>
  </si>
  <si>
    <t>جعفر محرابی</t>
  </si>
  <si>
    <t>محمد زحلی</t>
  </si>
  <si>
    <t>امیرحسین عباسی</t>
  </si>
  <si>
    <t>امیرحسین بردبار</t>
  </si>
  <si>
    <t xml:space="preserve">محمد مهدی اسماعیلی </t>
  </si>
  <si>
    <t xml:space="preserve">علی کوهی </t>
  </si>
  <si>
    <t>موسي غلامي</t>
  </si>
  <si>
    <t>محمد امین حاجی ده آبادی</t>
  </si>
  <si>
    <t>سید محمد حسین هاشمی</t>
  </si>
  <si>
    <t>علی زندی</t>
  </si>
  <si>
    <t>محمدحسن رمضانی علوی</t>
  </si>
  <si>
    <t>محمد عرفان انصاری</t>
  </si>
  <si>
    <t>احسان صادقی</t>
  </si>
  <si>
    <t>مجتبی رضایی</t>
  </si>
  <si>
    <t>علیرضا میلاجردی</t>
  </si>
  <si>
    <t xml:space="preserve">محمد حسینی </t>
  </si>
  <si>
    <t xml:space="preserve">دکترا پزشکی عمومی </t>
  </si>
  <si>
    <t xml:space="preserve">مبین زحمت بر </t>
  </si>
  <si>
    <t>دکترا پزشکی عمومی</t>
  </si>
  <si>
    <t xml:space="preserve">رسول دادوند </t>
  </si>
  <si>
    <t xml:space="preserve">داود قطب الدینی </t>
  </si>
  <si>
    <t xml:space="preserve">محمد نظری </t>
  </si>
  <si>
    <t xml:space="preserve">مهدی توکلی </t>
  </si>
  <si>
    <t>محمدمهدی خشمین</t>
  </si>
  <si>
    <t>پارسا محمدی</t>
  </si>
  <si>
    <t>محی الدین کاکایی</t>
  </si>
  <si>
    <t>کمیل امیری راد</t>
  </si>
  <si>
    <t>سعید عالمی</t>
  </si>
  <si>
    <t>امین قولجایی</t>
  </si>
  <si>
    <t>حسن تبرائی</t>
  </si>
  <si>
    <t>سیدرضی سلیم بهرامی</t>
  </si>
  <si>
    <t>داشجویان آقا</t>
  </si>
  <si>
    <t>جلال مومن</t>
  </si>
  <si>
    <t>عبدالله عموزاد</t>
  </si>
  <si>
    <t>امیرحسین محمد جانی</t>
  </si>
  <si>
    <t>میثم تشکر</t>
  </si>
  <si>
    <t>محمد  یاراحمدی</t>
  </si>
  <si>
    <t>مهدی  سعادتی</t>
  </si>
  <si>
    <t>عبدالرضا  گودرزی</t>
  </si>
  <si>
    <t>سید مبین رحیم نیا</t>
  </si>
  <si>
    <t xml:space="preserve"> سیدکاظم جلیلیان</t>
  </si>
  <si>
    <t>رسول ظفرمند</t>
  </si>
  <si>
    <t>ابوالفضل نجف زاده</t>
  </si>
  <si>
    <t>احمد سعیدی</t>
  </si>
  <si>
    <t>محمدرضا اردکانی موقتی</t>
  </si>
  <si>
    <t>مهدی رزم آرا فرزقی</t>
  </si>
  <si>
    <t>محمد نیما راستی</t>
  </si>
  <si>
    <t>محسن مدنج</t>
  </si>
  <si>
    <t>محمد بهرام فر</t>
  </si>
  <si>
    <t>محمدرضا زمردي</t>
  </si>
  <si>
    <t>علی دارابی</t>
  </si>
  <si>
    <t>مجتبی داغانی</t>
  </si>
  <si>
    <t>عبدالرئوف دفاعی</t>
  </si>
  <si>
    <t>خلیل قاسمی گوربندی</t>
  </si>
  <si>
    <t>مجتبی کارگر</t>
  </si>
  <si>
    <t>ایوب راستا</t>
  </si>
  <si>
    <t xml:space="preserve">امین غلامی عبدی </t>
  </si>
  <si>
    <t>امیرحسین مهری</t>
  </si>
  <si>
    <t>حسین ملکی</t>
  </si>
  <si>
    <t>حسین فرخی</t>
  </si>
  <si>
    <t>علی حسین فضیلت فرد</t>
  </si>
  <si>
    <t>حسن عسکرزاده</t>
  </si>
  <si>
    <t>علی بیات</t>
  </si>
  <si>
    <t>حامد هوشنگ مالمیری</t>
  </si>
  <si>
    <t>محمد قاسمی</t>
  </si>
  <si>
    <t>مهدی فلاح</t>
  </si>
  <si>
    <t>جابر میرجلیلی</t>
  </si>
  <si>
    <t>حمید زارع حسین آبادی</t>
  </si>
  <si>
    <t>امیر حسین بهزاد</t>
  </si>
  <si>
    <t>علی کریمی</t>
  </si>
  <si>
    <t>حسین معمرگیگلو</t>
  </si>
  <si>
    <t>ابوالفضل شعبانی کیا</t>
  </si>
  <si>
    <t>بهزاد رحیمی</t>
  </si>
  <si>
    <t xml:space="preserve">محمد مهدی تشیعی </t>
  </si>
  <si>
    <t xml:space="preserve">علی قاسمی </t>
  </si>
  <si>
    <t>هیات علمی (دکتری)</t>
  </si>
  <si>
    <t xml:space="preserve">حسن رجبی </t>
  </si>
  <si>
    <t>محمدرضا حسنی</t>
  </si>
  <si>
    <t>محمدمهدی فتحی</t>
  </si>
  <si>
    <t>محمدطاهر خسروزاده</t>
  </si>
  <si>
    <t>حمید قربانی</t>
  </si>
  <si>
    <t>ماردین سلیمی</t>
  </si>
  <si>
    <t>آرش صالحی</t>
  </si>
  <si>
    <t>میثم غفاری دیزیچه</t>
  </si>
  <si>
    <t>محمد مهدی احمدی</t>
  </si>
  <si>
    <t>محمدهادی اولیایی</t>
  </si>
  <si>
    <t>بابک شهبازی</t>
  </si>
  <si>
    <t>محمد صادق تاج</t>
  </si>
  <si>
    <t>محمد حسین ژاله وحدتی</t>
  </si>
  <si>
    <t>محمد گوشه دهقی</t>
  </si>
  <si>
    <t>مسعود نوبخت یگانه</t>
  </si>
  <si>
    <t>نیما شیرزادی</t>
  </si>
  <si>
    <t>اذان</t>
  </si>
  <si>
    <t>علی دورقی</t>
  </si>
  <si>
    <t>عبدالرضا طبیبیان</t>
  </si>
  <si>
    <t>مهدی شاملو</t>
  </si>
  <si>
    <t>عرفان استا</t>
  </si>
  <si>
    <t>محمد حسین دانش نژاد</t>
  </si>
  <si>
    <t>محمد فرجی تفاضل</t>
  </si>
  <si>
    <t>محمد ملایجردی</t>
  </si>
  <si>
    <t>عابد رجبی</t>
  </si>
  <si>
    <t>علی اکبر قربان زاده</t>
  </si>
  <si>
    <t>انتقال خون ستاد</t>
  </si>
  <si>
    <t>ناصر پیوست</t>
  </si>
  <si>
    <t>عباس حویزاوی</t>
  </si>
  <si>
    <t>امیرعلی پیرزادی</t>
  </si>
  <si>
    <t>محمد رضا زینانلو</t>
  </si>
  <si>
    <t>نوید نیرو زاده</t>
  </si>
  <si>
    <t>جواد پور هلشی</t>
  </si>
  <si>
    <t>مهدی نورایی</t>
  </si>
  <si>
    <t>امیرحسین کارگر</t>
  </si>
  <si>
    <t>ابوالفضل امام قلی تبار</t>
  </si>
  <si>
    <t>ابراهیم پیروان</t>
  </si>
  <si>
    <t>سیدنوروز عبادی فر</t>
  </si>
  <si>
    <t>مجید دریایی</t>
  </si>
  <si>
    <t>سید سعید حسینی</t>
  </si>
  <si>
    <t>علیرضا زنده بودی</t>
  </si>
  <si>
    <t>علی سیادت</t>
  </si>
  <si>
    <t>مهدی حسین پور</t>
  </si>
  <si>
    <t>محسن ملکی</t>
  </si>
  <si>
    <t>شهریار نوراللهی</t>
  </si>
  <si>
    <t>کریم حیدرپور</t>
  </si>
  <si>
    <t>امیرحسین پهلوان عظیمی</t>
  </si>
  <si>
    <t>عباس قدرتی</t>
  </si>
  <si>
    <t>سجاد قانع عز ابادی</t>
  </si>
  <si>
    <t>پسادکتری</t>
  </si>
  <si>
    <t>رسول سرمدی</t>
  </si>
  <si>
    <t>عباس ارجمند</t>
  </si>
  <si>
    <t>محمد رازی</t>
  </si>
  <si>
    <t>علی فنودی</t>
  </si>
  <si>
    <t>امیرحسین خدایاری</t>
  </si>
  <si>
    <t>مجید پیشوار</t>
  </si>
  <si>
    <t>حامد مولایی نسب</t>
  </si>
  <si>
    <t>رضا عیوضلو</t>
  </si>
  <si>
    <t xml:space="preserve">محمد امین نیل دار </t>
  </si>
  <si>
    <t>هادی شیخ</t>
  </si>
  <si>
    <t>سید مهدی موسوی</t>
  </si>
  <si>
    <t>محمد نقیلو</t>
  </si>
  <si>
    <t>سید محمد عطارد</t>
  </si>
  <si>
    <t>سیامک نوراللهی</t>
  </si>
  <si>
    <t>مجتبی ایران نژاد</t>
  </si>
  <si>
    <t>محمدرضا حامدی</t>
  </si>
  <si>
    <t>حميد صادقي سفيددشتي</t>
  </si>
  <si>
    <t xml:space="preserve">حمید رضا باستانی </t>
  </si>
  <si>
    <t>محمدمصطفی صفرپور</t>
  </si>
  <si>
    <t>حمید قاضی پور</t>
  </si>
  <si>
    <t>حسین دبیری</t>
  </si>
  <si>
    <t xml:space="preserve">حسین حاجی پور </t>
  </si>
  <si>
    <t>اسماعیل زال بیگی</t>
  </si>
  <si>
    <t>محمد آقاجانی</t>
  </si>
  <si>
    <t>حسین نسائی</t>
  </si>
  <si>
    <t>هادی اسماعیلی</t>
  </si>
  <si>
    <t>سید علی امیری</t>
  </si>
  <si>
    <t>سید متین آقامیری</t>
  </si>
  <si>
    <t>علی الماسی</t>
  </si>
  <si>
    <t xml:space="preserve">علی آتش هوش </t>
  </si>
  <si>
    <t xml:space="preserve">محمد مهدی پور ابولی </t>
  </si>
  <si>
    <t xml:space="preserve">احمد افروغ </t>
  </si>
  <si>
    <t xml:space="preserve">سجاد جهانشاهی </t>
  </si>
  <si>
    <t>علی خوروش</t>
  </si>
  <si>
    <t>اقبال امینی</t>
  </si>
  <si>
    <t>مسعود خواجه زاده</t>
  </si>
  <si>
    <t>مجتبی جندقی</t>
  </si>
  <si>
    <t>تایماز فرزانه</t>
  </si>
  <si>
    <t xml:space="preserve">اذان </t>
  </si>
  <si>
    <t>سعید مهری ثابت</t>
  </si>
  <si>
    <t>بهزاد معصومی</t>
  </si>
  <si>
    <t>مسعود  بهزادی فر</t>
  </si>
  <si>
    <t>حسن  پوراسماعیل</t>
  </si>
  <si>
    <t>محمد  چگنی</t>
  </si>
  <si>
    <t>عباس  کرمی</t>
  </si>
  <si>
    <t>مهدی محمدی فیروز</t>
  </si>
  <si>
    <t>یوسفعلی بابا کوهستانی</t>
  </si>
  <si>
    <t>سید مصطفی ابطحی</t>
  </si>
  <si>
    <t>مهران نجاتی</t>
  </si>
  <si>
    <t>محمد جعفر بهشتی تبار</t>
  </si>
  <si>
    <t>محمد تیرانی</t>
  </si>
  <si>
    <t>مهدی رهبری</t>
  </si>
  <si>
    <t>حسین بیات</t>
  </si>
  <si>
    <t>ابوالفضل دهستانی</t>
  </si>
  <si>
    <t>رضا زارع</t>
  </si>
  <si>
    <t>احسان احمدزاده</t>
  </si>
  <si>
    <t>محمد امین شیرازی</t>
  </si>
  <si>
    <t>عسگر آرمون</t>
  </si>
  <si>
    <t>مهدی قاسمی خادمی</t>
  </si>
  <si>
    <t>هادی پناهی</t>
  </si>
  <si>
    <t>شعبان قاسمی</t>
  </si>
  <si>
    <t>حامد عباس پور</t>
  </si>
  <si>
    <t>حمیدرضا رسولی ولی کند</t>
  </si>
  <si>
    <t>امیر حسین قربان نژاد</t>
  </si>
  <si>
    <t xml:space="preserve">محمد متقی </t>
  </si>
  <si>
    <t>محمد درودیان</t>
  </si>
  <si>
    <t>شهرام صادقی</t>
  </si>
  <si>
    <t>پیمان افشاری</t>
  </si>
  <si>
    <t>امین محمدی</t>
  </si>
  <si>
    <t>محمدرضا ویسی</t>
  </si>
  <si>
    <t>احمدعلی جلالی نژاد</t>
  </si>
  <si>
    <t>محمدرضا حق شناس</t>
  </si>
  <si>
    <t>سجاد امینی</t>
  </si>
  <si>
    <t>حبیب حسن پور</t>
  </si>
  <si>
    <t>علی اصغر کاجی</t>
  </si>
  <si>
    <t>پرویز خردمند</t>
  </si>
  <si>
    <t>کاشناسی ارشد</t>
  </si>
  <si>
    <t>باقر دریس</t>
  </si>
  <si>
    <t>محمد طاهر میرزایی</t>
  </si>
  <si>
    <t>داوود مقدسی</t>
  </si>
  <si>
    <t xml:space="preserve">سید حسن نبوی </t>
  </si>
  <si>
    <t>امیر محمد طاهری</t>
  </si>
  <si>
    <t>امین قلعه وند</t>
  </si>
  <si>
    <t>مرتضی صاکی</t>
  </si>
  <si>
    <t>نصراله بریچی</t>
  </si>
  <si>
    <t>محمدرضا حسینیان فرد</t>
  </si>
  <si>
    <t>محمد علی رضایی</t>
  </si>
  <si>
    <t>مصطفی کرمی</t>
  </si>
  <si>
    <t>رضا حیدریان</t>
  </si>
  <si>
    <t>یوسف رضا برزگر</t>
  </si>
  <si>
    <t>حسین زارعی</t>
  </si>
  <si>
    <t>سعید دشتی</t>
  </si>
  <si>
    <t>حسین اسماعیلی</t>
  </si>
  <si>
    <t>میثم محمد دوست</t>
  </si>
  <si>
    <t>مرتضی کیانی</t>
  </si>
  <si>
    <t>بهروز سامعی</t>
  </si>
  <si>
    <t>شهرام عبا سزاده</t>
  </si>
  <si>
    <t>امیر حسین صبا</t>
  </si>
  <si>
    <t>اکبر عبادی</t>
  </si>
  <si>
    <t>مرتضی اسماعیل زاده</t>
  </si>
  <si>
    <t>محمد علی حسن زاده</t>
  </si>
  <si>
    <t>سید حبیب حمیدی</t>
  </si>
  <si>
    <t xml:space="preserve">سعید سلیمان زاده </t>
  </si>
  <si>
    <t>محمد مهدی نجفی</t>
  </si>
  <si>
    <t>سطح دو حوزه</t>
  </si>
  <si>
    <t>هادی خانعلی لو</t>
  </si>
  <si>
    <t xml:space="preserve">ایمان سعادت  نیا </t>
  </si>
  <si>
    <t>مهدی بلوچ محمدرضاخانی</t>
  </si>
  <si>
    <t>سینا جوادنیا</t>
  </si>
  <si>
    <t>جلال صادقی نیا</t>
  </si>
  <si>
    <t>حسن جعفری سینی</t>
  </si>
  <si>
    <t>فاضل محمدی مقدم</t>
  </si>
  <si>
    <t>امیرحسین مبارکی</t>
  </si>
  <si>
    <t>حسن دهقان</t>
  </si>
  <si>
    <t>هادی علیقلی</t>
  </si>
  <si>
    <t>زاهد رحمانی</t>
  </si>
  <si>
    <t>عبداله همداني</t>
  </si>
  <si>
    <t>حسینعلی ارج</t>
  </si>
  <si>
    <t>سید اصغر اسماعیلی</t>
  </si>
  <si>
    <t>محمدرضا منصوری</t>
  </si>
  <si>
    <t>سید محمد حسن پور سیدی</t>
  </si>
  <si>
    <t>مصطفی دستاران</t>
  </si>
  <si>
    <t>کارشناسی ارشد -حوزه</t>
  </si>
  <si>
    <t xml:space="preserve">رضا شمسی زاده </t>
  </si>
  <si>
    <t xml:space="preserve">محمد جواد بهادر </t>
  </si>
  <si>
    <t xml:space="preserve">مهدی زنگی آبادی </t>
  </si>
  <si>
    <t xml:space="preserve">علی حسین زاده </t>
  </si>
  <si>
    <t>پیمان منصوری</t>
  </si>
  <si>
    <t>دکتر محمد شفیعی</t>
  </si>
  <si>
    <t>رضا قاسم پور</t>
  </si>
  <si>
    <t>کارشناس آزمایشگاه</t>
  </si>
  <si>
    <t>علی خادمی</t>
  </si>
  <si>
    <t>روح الله پورعابدین</t>
  </si>
  <si>
    <t>سیداحمد سید پوراهندانی</t>
  </si>
  <si>
    <t xml:space="preserve">کارشناسی  ارشد </t>
  </si>
  <si>
    <t>جمشید  جودکی</t>
  </si>
  <si>
    <t>وحید  دریکوند</t>
  </si>
  <si>
    <t>محمدرضا  مشفق</t>
  </si>
  <si>
    <t>جواد کاکولاریمی</t>
  </si>
  <si>
    <t>فوق دیپلم</t>
  </si>
  <si>
    <t>محمدابراهیم قدیری</t>
  </si>
  <si>
    <t>علی نایبی ندوشن</t>
  </si>
  <si>
    <t>محمد حسین احمدی</t>
  </si>
  <si>
    <t>محمد زارعی</t>
  </si>
  <si>
    <t>علی استثنایی</t>
  </si>
  <si>
    <t>محمد حسین بخشی قالی باف طوسی</t>
  </si>
  <si>
    <t>حسین سلیمانی طبسی</t>
  </si>
  <si>
    <t>سجاد داوری</t>
  </si>
  <si>
    <t>هادی صومعه</t>
  </si>
  <si>
    <t>محمدعلی زارعیان</t>
  </si>
  <si>
    <t>جاوید الکوزه ای</t>
  </si>
  <si>
    <t>سهیل جعفری ندوشن</t>
  </si>
  <si>
    <t>رضا غلامی بنادکوکی</t>
  </si>
  <si>
    <t>محمدعلی ابویی</t>
  </si>
  <si>
    <t>مسلم زمانیان</t>
  </si>
  <si>
    <t>ناصر مرادی قشلاق محمد بیگ</t>
  </si>
  <si>
    <t>هادی بوداقی</t>
  </si>
  <si>
    <t>عمار قلی پور خانقاهی</t>
  </si>
  <si>
    <t xml:space="preserve">محمود استقامت </t>
  </si>
  <si>
    <t>محمدرضا بابایی</t>
  </si>
  <si>
    <t>محمد ترکان</t>
  </si>
  <si>
    <t>حسین عندلیب</t>
  </si>
  <si>
    <t>شکرالله اسلامی ورنامخواستی</t>
  </si>
  <si>
    <t>حسین محمدامینی</t>
  </si>
  <si>
    <t>ابوالفضل امینی هرندی</t>
  </si>
  <si>
    <t>امیررضا قناتی</t>
  </si>
  <si>
    <t>عیسی جیشی</t>
  </si>
  <si>
    <t>ضیاء غانمی مظلوم</t>
  </si>
  <si>
    <t>روح اله کامیاب</t>
  </si>
  <si>
    <t>حسین حسن نژاد</t>
  </si>
  <si>
    <t>امیر رضا خلخالی</t>
  </si>
  <si>
    <t>محمود واعظی</t>
  </si>
  <si>
    <t>حبیب غلامرضایی</t>
  </si>
  <si>
    <t>محسن پیرزاد کوه کنار</t>
  </si>
  <si>
    <t>سازمان انتقال خون(ستاد مرکزی)</t>
  </si>
  <si>
    <t>اکبر رحیمی</t>
  </si>
  <si>
    <t>سعید مسحنه</t>
  </si>
  <si>
    <t>سید مرتضی سواعدی</t>
  </si>
  <si>
    <t>سید رضا میری</t>
  </si>
  <si>
    <t>مرتضی پیشگر</t>
  </si>
  <si>
    <t>سیف ا.. محمدنژاد</t>
  </si>
  <si>
    <t xml:space="preserve">ابوالفضل دهقان </t>
  </si>
  <si>
    <t>مجتبی اسدی</t>
  </si>
  <si>
    <t>امید عباسی</t>
  </si>
  <si>
    <t>جواد راستگوی</t>
  </si>
  <si>
    <t>جواد قره چالی ملکی</t>
  </si>
  <si>
    <t>عبداله علی بیگی</t>
  </si>
  <si>
    <t>مجید حسن آبادی</t>
  </si>
  <si>
    <t>حسین اکبری</t>
  </si>
  <si>
    <t>حسین سلیمانی</t>
  </si>
  <si>
    <t>حسن افروز</t>
  </si>
  <si>
    <t>محمد نوذری</t>
  </si>
  <si>
    <t>سید عباس حسینی</t>
  </si>
  <si>
    <t>قربان پیگر</t>
  </si>
  <si>
    <t xml:space="preserve">محمد رضا نیکو نژاد </t>
  </si>
  <si>
    <t>ابراهیم رحیمی</t>
  </si>
  <si>
    <t>حامد احمدی</t>
  </si>
  <si>
    <t>علی سعیدی</t>
  </si>
  <si>
    <t>غلامرضا رحیمی کاهکشی</t>
  </si>
  <si>
    <t xml:space="preserve">محمد جواد قویدل </t>
  </si>
  <si>
    <t>سید مصطفی زارع</t>
  </si>
  <si>
    <t>اکبر تقی پور</t>
  </si>
  <si>
    <t>امیرحسین اسلامی</t>
  </si>
  <si>
    <t xml:space="preserve">موسی کریم </t>
  </si>
  <si>
    <t>سعید رحیمی</t>
  </si>
  <si>
    <t>علی اکبر فلاح سیفی</t>
  </si>
  <si>
    <t>روح الله نوروزی</t>
  </si>
  <si>
    <t>حسين پورسجاد</t>
  </si>
  <si>
    <t>محمد مهدی ذاکری</t>
  </si>
  <si>
    <t>محد رضا آسوده</t>
  </si>
  <si>
    <t>حمیدرضا ضیغم</t>
  </si>
  <si>
    <t xml:space="preserve">عباس علیزاده </t>
  </si>
  <si>
    <t xml:space="preserve">یامین حسینخانی </t>
  </si>
  <si>
    <t xml:space="preserve">حمید حسینی </t>
  </si>
  <si>
    <t>عباس هدهدی</t>
  </si>
  <si>
    <t>رضا طاهری خواه</t>
  </si>
  <si>
    <t>علیرضا آلوستانی مفرد</t>
  </si>
  <si>
    <t>کارشناس حقوقی</t>
  </si>
  <si>
    <t>رضا محبتی</t>
  </si>
  <si>
    <t>مالک گنابادی</t>
  </si>
  <si>
    <t>الیاس صدرالحافظین</t>
  </si>
  <si>
    <t>سامان  فکوری</t>
  </si>
  <si>
    <t>مسعود  توکلی</t>
  </si>
  <si>
    <t>نیما امامی امیری</t>
  </si>
  <si>
    <t>احمد متولی طاهر</t>
  </si>
  <si>
    <t>امیرعلی باقریان</t>
  </si>
  <si>
    <t>عظیم زعیم باشی</t>
  </si>
  <si>
    <t>جلال تعقیبی مقدم</t>
  </si>
  <si>
    <t>کارشاسی ارشد</t>
  </si>
  <si>
    <t>ابوالفضل واسعی</t>
  </si>
  <si>
    <t>محمد لطفی</t>
  </si>
  <si>
    <t>احسان صمدیه</t>
  </si>
  <si>
    <t>غلامرضا عبدی</t>
  </si>
  <si>
    <t>محمد عبدی</t>
  </si>
  <si>
    <t>سجاد نعیمی</t>
  </si>
  <si>
    <t>عبدالله رحیمی</t>
  </si>
  <si>
    <t>مصطفی فتاحی</t>
  </si>
  <si>
    <t>محسن احمدی</t>
  </si>
  <si>
    <t>توحید نجفی</t>
  </si>
  <si>
    <t>امیرحسین حقی</t>
  </si>
  <si>
    <t>نیما رشیدی</t>
  </si>
  <si>
    <t>دکترای تخصصی قلب</t>
  </si>
  <si>
    <t xml:space="preserve">محمد امین جمال </t>
  </si>
  <si>
    <t xml:space="preserve">امیرحسین قنبری </t>
  </si>
  <si>
    <t>حسین آیینی</t>
  </si>
  <si>
    <t>مهدي بابائي نوگوراني</t>
  </si>
  <si>
    <t>حسین اسدی</t>
  </si>
  <si>
    <t>نادرآقائی</t>
  </si>
  <si>
    <t>علی جدیدی</t>
  </si>
  <si>
    <t>مهدی دارستانی</t>
  </si>
  <si>
    <t>سید علیرضا میر نظامی</t>
  </si>
  <si>
    <t>مهدی توکلی زاده</t>
  </si>
  <si>
    <t>سید مصطفی محدث</t>
  </si>
  <si>
    <t>ابوالقاسم عصارزاده</t>
  </si>
  <si>
    <t>علی خالدی</t>
  </si>
  <si>
    <t>علیرضا مزرعه</t>
  </si>
  <si>
    <t>مهدی مرعشی</t>
  </si>
  <si>
    <t>تقی آقاجانلو</t>
  </si>
  <si>
    <t>مجید عبدل زاده</t>
  </si>
  <si>
    <t>پوریا گوهری</t>
  </si>
  <si>
    <t>مهدی صادقی</t>
  </si>
  <si>
    <t>اکبر بادمهر</t>
  </si>
  <si>
    <t>محسن زارعی</t>
  </si>
  <si>
    <t>هادی مکاریان</t>
  </si>
  <si>
    <t>هاشم صفار یزدی</t>
  </si>
  <si>
    <t>کارشناس</t>
  </si>
  <si>
    <t>فرزاد رمضانی</t>
  </si>
  <si>
    <t>آبتین قاسم پور</t>
  </si>
  <si>
    <t>صادق فاریابی</t>
  </si>
  <si>
    <t>محمدهادی عباسی</t>
  </si>
  <si>
    <t>مبین اصلانی</t>
  </si>
  <si>
    <t>مسعودعجب شیرچی اسکویی</t>
  </si>
  <si>
    <t>محمد صادقی</t>
  </si>
  <si>
    <t xml:space="preserve">محمد بهناز </t>
  </si>
  <si>
    <t>متخصص</t>
  </si>
  <si>
    <t>محمد محمدي رابع</t>
  </si>
  <si>
    <t>محمد پندخواهی</t>
  </si>
  <si>
    <t>آرمین فریدونی</t>
  </si>
  <si>
    <t>محمد بال افکن</t>
  </si>
  <si>
    <t xml:space="preserve">مجتبی خالقی </t>
  </si>
  <si>
    <t>سید محمد محمدی</t>
  </si>
  <si>
    <t>محمد سعید معین فر</t>
  </si>
  <si>
    <t>سالار کریمی</t>
  </si>
  <si>
    <t>محمدرضا شیوخی</t>
  </si>
  <si>
    <t>صادق درویشی</t>
  </si>
  <si>
    <t>ابوالفضل ستوده لار</t>
  </si>
  <si>
    <t>سیدعلی ساداتی</t>
  </si>
  <si>
    <t>کارشناس پرستاری</t>
  </si>
  <si>
    <t>حسین توکلی ثانی</t>
  </si>
  <si>
    <t>مهدی محمدی نوقابی</t>
  </si>
  <si>
    <t>سید صدرالدین سید صبوری</t>
  </si>
  <si>
    <t>محمد علی اسروش</t>
  </si>
  <si>
    <t>امیرسعید حسینی</t>
  </si>
  <si>
    <t>سید مهدی پیشنمازی</t>
  </si>
  <si>
    <t>ایوب توکلیان</t>
  </si>
  <si>
    <t>رضا میرنژاد</t>
  </si>
  <si>
    <t>محسن صالح آبادی</t>
  </si>
  <si>
    <t>سید صالح حسینی</t>
  </si>
  <si>
    <t>ذبیح الله یاری نژاد</t>
  </si>
  <si>
    <t>سعید محمدیان</t>
  </si>
  <si>
    <t>سهیل یقینی</t>
  </si>
  <si>
    <t>احمد بهنیا</t>
  </si>
  <si>
    <t>ابوالقاسم هادی نیا</t>
  </si>
  <si>
    <t>محمدذولعدل</t>
  </si>
  <si>
    <t>علیرضا شفیعی</t>
  </si>
  <si>
    <t>سید حسین حسینی روش</t>
  </si>
  <si>
    <t>وحید فتاحی</t>
  </si>
  <si>
    <t>محمد زارع رشکوییه</t>
  </si>
  <si>
    <t>حمیدرضا پورحسینی</t>
  </si>
  <si>
    <t>غلامرضا سليمي</t>
  </si>
  <si>
    <t>معین قربانی</t>
  </si>
  <si>
    <t xml:space="preserve">محمدرضا پاکدامن </t>
  </si>
  <si>
    <t>مهدی احمدی</t>
  </si>
  <si>
    <t>محمدهیوا عزیزی</t>
  </si>
  <si>
    <t>میثم جعفریان</t>
  </si>
  <si>
    <t xml:space="preserve">محمد طه    سعادتی راد    </t>
  </si>
  <si>
    <t>دکترمسعود تراپ پور</t>
  </si>
  <si>
    <t>امیر رضا شریفی مقدم</t>
  </si>
  <si>
    <t>علی قلی پور</t>
  </si>
  <si>
    <t>محمد حسین نفیسی</t>
  </si>
  <si>
    <t>سید حسین موسوی</t>
  </si>
  <si>
    <t>ابوالفضل جعفری نسب</t>
  </si>
  <si>
    <t>حمیدراستی</t>
  </si>
  <si>
    <t>محمدصادق برزگربفروئی</t>
  </si>
  <si>
    <t>محمدابراهیم مقدم</t>
  </si>
  <si>
    <t>محمد ملک محمدی</t>
  </si>
  <si>
    <t>سید حمید خویی</t>
  </si>
  <si>
    <t>سید حسن سیدی</t>
  </si>
  <si>
    <t>حمید جوینی</t>
  </si>
  <si>
    <t>علی پرنده شیروان</t>
  </si>
  <si>
    <t>علیرضا ضرغامی</t>
  </si>
  <si>
    <t>سید رضا فتحی</t>
  </si>
  <si>
    <t>رضا گنجی</t>
  </si>
  <si>
    <t>سیدشهاب الدین احمدی</t>
  </si>
  <si>
    <t xml:space="preserve">عرفان پور شهری </t>
  </si>
  <si>
    <t>حسین پاسالاری</t>
  </si>
  <si>
    <t>محمد حسین شمسی نژاد</t>
  </si>
  <si>
    <t>مهدی حقیقت افشار</t>
  </si>
  <si>
    <t>حسین خاموشی</t>
  </si>
  <si>
    <t>محمد مهدی نعمت اللهی</t>
  </si>
  <si>
    <t>امير اميني</t>
  </si>
  <si>
    <t>مهدی بابایی حسکویی</t>
  </si>
  <si>
    <t>سید مجتبی هاشمی حسنی</t>
  </si>
  <si>
    <t>ابوالفضل شریف راد</t>
  </si>
  <si>
    <t>حبیب الله یوسفی</t>
  </si>
  <si>
    <t>سید رضا حسینی آراء</t>
  </si>
  <si>
    <t xml:space="preserve">پارسا شمسی </t>
  </si>
  <si>
    <t>یاسین علیجانی</t>
  </si>
  <si>
    <t>سید علی سده ئی</t>
  </si>
  <si>
    <t>علی ابراهیمی نیا</t>
  </si>
  <si>
    <t xml:space="preserve">دکتری تخصصی </t>
  </si>
  <si>
    <t>محمد یاسین کمالی</t>
  </si>
  <si>
    <t>مصیب  شفیعی</t>
  </si>
  <si>
    <t>سیدعلی  موسوی نیا</t>
  </si>
  <si>
    <t>امیرحسین جمالی</t>
  </si>
  <si>
    <t>حسن خاموشی</t>
  </si>
  <si>
    <t>حسین تازه</t>
  </si>
  <si>
    <t>هادی اماموردی</t>
  </si>
  <si>
    <t>امیر رضا عابدینی</t>
  </si>
  <si>
    <t>سید مهدی ساداتی</t>
  </si>
  <si>
    <t>مسعود داستار</t>
  </si>
  <si>
    <t>حمیدرضاپیروی</t>
  </si>
  <si>
    <t>سیدحمزه حسینی مطلق</t>
  </si>
  <si>
    <t>علیرضا خراسانی</t>
  </si>
  <si>
    <t>امیررضا عباسی سکه روانی</t>
  </si>
  <si>
    <t>حجت سالکی</t>
  </si>
  <si>
    <t>محمدحسین مهدی پور</t>
  </si>
  <si>
    <t>نقی دشتی</t>
  </si>
  <si>
    <t>محمدرضا فرض اللهی</t>
  </si>
  <si>
    <t>امیرمهدی عزیزی</t>
  </si>
  <si>
    <t>دکتر اسماعیل محمدیان</t>
  </si>
  <si>
    <t>حجت عبادعسکری</t>
  </si>
  <si>
    <t>فایل بدون تصویر</t>
  </si>
  <si>
    <t>فایل نا مرتبط</t>
  </si>
  <si>
    <t>فایل مشکل پخش دارد</t>
  </si>
  <si>
    <t>حسین توفیق زاده</t>
  </si>
  <si>
    <t>فایل باز نشد</t>
  </si>
  <si>
    <t>فاقد اسلاید</t>
  </si>
  <si>
    <t>فقط سوره شمس تلاوت شد</t>
  </si>
  <si>
    <t>فقط سوره ضحی تلاوت شد</t>
  </si>
  <si>
    <t>فایل مشکل دارد</t>
  </si>
  <si>
    <t>ضمنا با سیستم صوتی است و نیز آیات دیگری تلاوت شده</t>
  </si>
  <si>
    <t>آیات دیگری تلاوت شده است</t>
  </si>
  <si>
    <t>فایل باز نمیشود</t>
  </si>
  <si>
    <t>فایل ادیت شده بود</t>
  </si>
  <si>
    <t>اذان ناقص بود</t>
  </si>
  <si>
    <t>اذان ناقص</t>
  </si>
  <si>
    <t>سیستم  صوتی</t>
  </si>
  <si>
    <t>***</t>
  </si>
  <si>
    <t>حذف سیستم صوتی</t>
  </si>
  <si>
    <t>یک آیه کم خوانده شذ</t>
  </si>
  <si>
    <t>نظر داور صوت : آیات اشتباهی تلاوت شده حذف + ...</t>
  </si>
  <si>
    <t>سیستم صوتی</t>
  </si>
  <si>
    <t>سیستم صوتی نیاز به بررسی مجدد</t>
  </si>
  <si>
    <t>عدم پخش</t>
  </si>
  <si>
    <t>خارج از موضوع</t>
  </si>
  <si>
    <t>سید محمد علی موسوی</t>
  </si>
  <si>
    <t>احسان رضایی</t>
  </si>
  <si>
    <t>دانشگاه علوم پزشکی ایلام</t>
  </si>
  <si>
    <t>محمدهاشم کریمی</t>
  </si>
  <si>
    <t>علوم پزشکی تربت جام</t>
  </si>
  <si>
    <t>محمد حسین رستمی</t>
  </si>
  <si>
    <t>محمود رجبی</t>
  </si>
  <si>
    <t>حسین فرهمند</t>
  </si>
  <si>
    <t>محمد دغاغله</t>
  </si>
  <si>
    <t>علی چنانه</t>
  </si>
  <si>
    <t>امیرمهدی رعیت پور</t>
  </si>
  <si>
    <t>سعید صفی زاده</t>
  </si>
  <si>
    <t>محمد حسین صباغ</t>
  </si>
  <si>
    <t>ابولفضل قاسمی</t>
  </si>
  <si>
    <t>محمدرضا قائداميني</t>
  </si>
  <si>
    <t>همایون سلحشور</t>
  </si>
  <si>
    <t>علی اکبر نادری</t>
  </si>
  <si>
    <t>محمد حسن مسعودی</t>
  </si>
  <si>
    <t>امین سبحانی</t>
  </si>
  <si>
    <t>حسین محمدی فر</t>
  </si>
  <si>
    <t>مهدی نجفی</t>
  </si>
  <si>
    <t>محمد رحیمی</t>
  </si>
  <si>
    <t>علی قلی زاده</t>
  </si>
  <si>
    <t>امیر حسین شرفاء</t>
  </si>
  <si>
    <t>محمد جواد مدرسی</t>
  </si>
  <si>
    <t>احمد شمسی</t>
  </si>
  <si>
    <t>امیرضا فلاحتی</t>
  </si>
  <si>
    <t>محمد براتی (درمیان)</t>
  </si>
  <si>
    <t>ابوالقاسم دانش</t>
  </si>
  <si>
    <t>ابوالفضل مروی زاده</t>
  </si>
  <si>
    <t>ياسين حسني</t>
  </si>
  <si>
    <t>صادق ناصری</t>
  </si>
  <si>
    <t>حسن صابری توندری</t>
  </si>
  <si>
    <t>قاسم بنیانی پودنک</t>
  </si>
  <si>
    <t>یعقوب بینا</t>
  </si>
  <si>
    <t>رضا جعفری</t>
  </si>
  <si>
    <t>مجتبی تقی پور</t>
  </si>
  <si>
    <t>رضا عبدالمالکی</t>
  </si>
  <si>
    <t>سید کیانوش حسینی</t>
  </si>
  <si>
    <t>علیرضا رستمی</t>
  </si>
  <si>
    <t>محمد کشوری پسندیده</t>
  </si>
  <si>
    <t xml:space="preserve">امیر محمد باقری </t>
  </si>
  <si>
    <t>حسین سلطانی پور</t>
  </si>
  <si>
    <t>محمدمهدی محمدی</t>
  </si>
  <si>
    <t>رضا دارابی</t>
  </si>
  <si>
    <t>مهدی رزقی شکرلو</t>
  </si>
  <si>
    <t>عارف حیدرزاده</t>
  </si>
  <si>
    <t>علی کیادوست</t>
  </si>
  <si>
    <t>سعید غزنوی</t>
  </si>
  <si>
    <t>روح الله متینی</t>
  </si>
  <si>
    <t>سجاد قائدی</t>
  </si>
  <si>
    <t>نورالله کوچک</t>
  </si>
  <si>
    <t>علی  میرزائی</t>
  </si>
  <si>
    <t>مرتضی رستمیان</t>
  </si>
  <si>
    <t>محمد مصطفی انصاری</t>
  </si>
  <si>
    <t>سیدطاها میرخوش چهره</t>
  </si>
  <si>
    <t>عباس زارع زاده</t>
  </si>
  <si>
    <t>علیرضا عاملی</t>
  </si>
  <si>
    <t>علی ناییجیان</t>
  </si>
  <si>
    <t>سپهر سالارزاده</t>
  </si>
  <si>
    <t>محمد جواد سلطان آبادی</t>
  </si>
  <si>
    <t>عسکر حاتمی</t>
  </si>
  <si>
    <t>مرتضی اسدی کاخکی</t>
  </si>
  <si>
    <t>سید رضا معلم</t>
  </si>
  <si>
    <t>حسین نعمتی</t>
  </si>
  <si>
    <t>محمد رضا صنعتی</t>
  </si>
  <si>
    <t>شاهرود</t>
  </si>
  <si>
    <t>علیرضا کریمی خرمی</t>
  </si>
  <si>
    <t>علی فلاح زاده</t>
  </si>
  <si>
    <t>علیرضا زارعی</t>
  </si>
  <si>
    <t>علیرضا حسین زاده</t>
  </si>
  <si>
    <t xml:space="preserve">محمد حسین علی نقی زاده </t>
  </si>
  <si>
    <t>جعفر رضازاده</t>
  </si>
  <si>
    <t>علی حمیدی</t>
  </si>
  <si>
    <t>امیرحسین عیسی زهی</t>
  </si>
  <si>
    <t>سنااله پیام</t>
  </si>
  <si>
    <t>عرفان محمدی</t>
  </si>
  <si>
    <t>علیرضا مهدی نسب</t>
  </si>
  <si>
    <t>محمدمهدی علیپور</t>
  </si>
  <si>
    <t>محمدجواد جعفری</t>
  </si>
  <si>
    <t>رسول گنجی</t>
  </si>
  <si>
    <t>امیررضا زهری</t>
  </si>
  <si>
    <t>سیدجعفر حسینی</t>
  </si>
  <si>
    <t>امیر محمد کریمی</t>
  </si>
  <si>
    <t>کریم جعفری کفاش</t>
  </si>
  <si>
    <t>اکبر فیروزی</t>
  </si>
  <si>
    <t>علی عبداللهی خردمند</t>
  </si>
  <si>
    <t>علیرضا سلمانی</t>
  </si>
  <si>
    <t>میلاد حاکمی</t>
  </si>
  <si>
    <t>حسن پناهی</t>
  </si>
  <si>
    <t>محمد محمد حسینی</t>
  </si>
  <si>
    <t>محمد حسین خنیفر</t>
  </si>
  <si>
    <t>ثناء الله امینی</t>
  </si>
  <si>
    <t>ایرانشهر</t>
  </si>
  <si>
    <t>مصطفی شیخ الطایفه</t>
  </si>
  <si>
    <t>ابوالفضل ارباب</t>
  </si>
  <si>
    <t>محمدنصیر همتیان</t>
  </si>
  <si>
    <t>صمد نوروزی</t>
  </si>
  <si>
    <t>مصطفی کریمی</t>
  </si>
  <si>
    <t>محمدجواد ایرانپورمبارکه</t>
  </si>
  <si>
    <t>محمد احسان یاری</t>
  </si>
  <si>
    <t>علی اکبر رشیدی</t>
  </si>
  <si>
    <t>محمد شکوری</t>
  </si>
  <si>
    <t>حسن چوپان بیدگلی</t>
  </si>
  <si>
    <t>مهرداد پیغام زاده</t>
  </si>
  <si>
    <t>محمد صفا مارامائی</t>
  </si>
  <si>
    <t>مبین عطایی فر</t>
  </si>
  <si>
    <t>محمد شمسی طبس</t>
  </si>
  <si>
    <t>حسین افشاری</t>
  </si>
  <si>
    <t>محمدطاها شبانی</t>
  </si>
  <si>
    <t>مصطفی فتاح</t>
  </si>
  <si>
    <t>علي رجب زاده</t>
  </si>
  <si>
    <t>وحیدسعیدی کیاسری</t>
  </si>
  <si>
    <t>سهیل سالارزاده</t>
  </si>
  <si>
    <t>علی شجاعی راد</t>
  </si>
  <si>
    <t>مهران تاجیک</t>
  </si>
  <si>
    <t>احمد حسنعلیپور</t>
  </si>
  <si>
    <t>محمد حافظی راد</t>
  </si>
  <si>
    <t>محمدباقر جعفری</t>
  </si>
  <si>
    <t>محمدصادق قاسمی</t>
  </si>
  <si>
    <t>مهدی علی بلندی</t>
  </si>
  <si>
    <t>زانا حمیدی</t>
  </si>
  <si>
    <t>محمدحسین فراهانی</t>
  </si>
  <si>
    <t xml:space="preserve">حسام مقتدر </t>
  </si>
  <si>
    <t>فهیم برفروشان</t>
  </si>
  <si>
    <t>آرمان روشن زهی</t>
  </si>
  <si>
    <t>مهدی نادری</t>
  </si>
  <si>
    <t>حجت کشتگر</t>
  </si>
  <si>
    <t>جلیل نجاتی</t>
  </si>
  <si>
    <t>مهدی بلواسی</t>
  </si>
  <si>
    <t>سیدمحمدجواد قاسمی</t>
  </si>
  <si>
    <t>مبین توانا</t>
  </si>
  <si>
    <t>حسن اسماعیلی نژاد</t>
  </si>
  <si>
    <t>عباس فراهی</t>
  </si>
  <si>
    <t>عباس ببردل</t>
  </si>
  <si>
    <t>محمدرضا اسمعیل زاده نوشهر</t>
  </si>
  <si>
    <t>احد قهرمانی</t>
  </si>
  <si>
    <t>محمد گودرزی</t>
  </si>
  <si>
    <t>ایوب کوهی</t>
  </si>
  <si>
    <t>دانیال شادی</t>
  </si>
  <si>
    <t>محمد حسین دالایی</t>
  </si>
  <si>
    <t>مهدی اسدی درباغی</t>
  </si>
  <si>
    <t>سید علی مرد</t>
  </si>
  <si>
    <t>محمد الباجی</t>
  </si>
  <si>
    <t>عبدالاحد دادی</t>
  </si>
  <si>
    <t>پوریا پورعباسی</t>
  </si>
  <si>
    <t>محمد گل پرور</t>
  </si>
  <si>
    <t>مصطفی مصطفایی</t>
  </si>
  <si>
    <t>علی فولادی</t>
  </si>
  <si>
    <t>محمد حاجی علی اکبر</t>
  </si>
  <si>
    <t>حسین محسنی</t>
  </si>
  <si>
    <t>ابراهیم شاهسونی</t>
  </si>
  <si>
    <t>مهدی مظلوم</t>
  </si>
  <si>
    <t>محمدرضا زواران حسینی</t>
  </si>
  <si>
    <t>علی آشوری سینکی</t>
  </si>
  <si>
    <t>محسن قبایی</t>
  </si>
  <si>
    <t>محمد رضایی</t>
  </si>
  <si>
    <t>محمد صادق امیرخانی</t>
  </si>
  <si>
    <t xml:space="preserve">سید محمد قوام نیا </t>
  </si>
  <si>
    <t>محمد داود فلاحی میبدی</t>
  </si>
  <si>
    <t>سید محمد هادی مظفری</t>
  </si>
  <si>
    <t>آرمان امینی</t>
  </si>
  <si>
    <t>ابراهیم فرهانی</t>
  </si>
  <si>
    <t>محمد تقوی کمساری</t>
  </si>
  <si>
    <t>عنایت سیاح</t>
  </si>
  <si>
    <t>سید محمد متین علوی دانا</t>
  </si>
  <si>
    <t>محمد مهدی حریری با خدا</t>
  </si>
  <si>
    <t>امیرحسین متولی</t>
  </si>
  <si>
    <t>حسین اژدری</t>
  </si>
  <si>
    <t>محمد هادی رستمی</t>
  </si>
  <si>
    <t>محمد مهدی حسنلو</t>
  </si>
  <si>
    <t>علوم پزشکی مراغه</t>
  </si>
  <si>
    <t xml:space="preserve">طاها زمزم </t>
  </si>
  <si>
    <t>ابوبکرنصرتی</t>
  </si>
  <si>
    <t>محمدمحمدی</t>
  </si>
  <si>
    <t>محمدرضا عربانی</t>
  </si>
  <si>
    <t>امیرحسین کاری</t>
  </si>
  <si>
    <t>معین رضا مریمی منظری</t>
  </si>
  <si>
    <t>علیرضا رضایی</t>
  </si>
  <si>
    <t>علوم پزشکی سبزوار</t>
  </si>
  <si>
    <t xml:space="preserve">رضا محمدیان </t>
  </si>
  <si>
    <t>سید محمد مهدی مصطفوی</t>
  </si>
  <si>
    <t>غلامرضا علیزاده</t>
  </si>
  <si>
    <t>مهدي فرجي</t>
  </si>
  <si>
    <t>عرفان توحیدی</t>
  </si>
  <si>
    <t>علی زارع قره بابا</t>
  </si>
  <si>
    <t>اباصلت عیوضی صقاواز</t>
  </si>
  <si>
    <t>بهزاد بسطامی</t>
  </si>
  <si>
    <t>سید موسی زین العابدین</t>
  </si>
  <si>
    <t>حمیدرضا پورطالبی وراعون</t>
  </si>
  <si>
    <t>کمیل هادی پور</t>
  </si>
  <si>
    <t>محمد مصطفی اسعدی</t>
  </si>
  <si>
    <t>عبدالله رسولی زاده</t>
  </si>
  <si>
    <t>امیر حسین  زنگنه</t>
  </si>
  <si>
    <t>مرتضی ریاحی</t>
  </si>
  <si>
    <t>امیرمحمد میرویسی زاده</t>
  </si>
  <si>
    <t>مجتبی بلاغی</t>
  </si>
  <si>
    <t>محمدرضا فصیحی پور پاریزی</t>
  </si>
  <si>
    <t>محمدرضا میرزاخانلو</t>
  </si>
  <si>
    <t>محمد امین احمدی</t>
  </si>
  <si>
    <t>علی محمد اکرمی</t>
  </si>
  <si>
    <t>آئیریا رحمانی طبس</t>
  </si>
  <si>
    <t>حسین مؤذن</t>
  </si>
  <si>
    <t>مهدی فراستی</t>
  </si>
  <si>
    <t>محمدنور افرا</t>
  </si>
  <si>
    <t>حسین نوبخت</t>
  </si>
  <si>
    <t>رضا قنبری</t>
  </si>
  <si>
    <t>مهدی شریف زاده</t>
  </si>
  <si>
    <t>محمدسپاهی سیب</t>
  </si>
  <si>
    <t>محمدمهدی جباری</t>
  </si>
  <si>
    <t xml:space="preserve">ابوالفضل مظلوم </t>
  </si>
  <si>
    <t>محمد جلالوند</t>
  </si>
  <si>
    <t>محمد مهدی قربانی</t>
  </si>
  <si>
    <t>محمد حسین محمدی جعفری</t>
  </si>
  <si>
    <t>سید رضا میر هاشمی</t>
  </si>
  <si>
    <t>جاسم طاهر الهایی</t>
  </si>
  <si>
    <t>علی اکبر اصغرنژاد لمراسکی</t>
  </si>
  <si>
    <t>علی غلامپور</t>
  </si>
  <si>
    <t>مهدی علی بیگی</t>
  </si>
  <si>
    <t>فرهاد لطفی</t>
  </si>
  <si>
    <t>علی کوهی</t>
  </si>
  <si>
    <t>محمدمهدی رشیدی</t>
  </si>
  <si>
    <t>ابوالفضل نجد</t>
  </si>
  <si>
    <t xml:space="preserve">مصطفی مومنی </t>
  </si>
  <si>
    <t>امیرحسین ملک محمدی فرادنبه</t>
  </si>
  <si>
    <t>میلاد سیاوشی</t>
  </si>
  <si>
    <t>علیرضا شور ورزی</t>
  </si>
  <si>
    <t>سید سهیل حسینی</t>
  </si>
  <si>
    <t>محمد مفاخری</t>
  </si>
  <si>
    <t>جمال شریفی</t>
  </si>
  <si>
    <t>مهدی برنده</t>
  </si>
  <si>
    <t>محسن محمدی سه ده</t>
  </si>
  <si>
    <t>احمد گریوانی</t>
  </si>
  <si>
    <t>حمیدرضا امینی</t>
  </si>
  <si>
    <t>علوم پزشکی رفسنجان</t>
  </si>
  <si>
    <t xml:space="preserve">محمد رضا آقابابایی کمشجه </t>
  </si>
  <si>
    <t xml:space="preserve">علوم پزشکی زابل </t>
  </si>
  <si>
    <t>امیرمحمد عادلیان</t>
  </si>
  <si>
    <t>وحید کریمی</t>
  </si>
  <si>
    <t>محمد رسول تکبیری</t>
  </si>
  <si>
    <t>متین حق شناس</t>
  </si>
  <si>
    <t>امیر حسین علیزاده</t>
  </si>
  <si>
    <t>علیرضا شاه فضل</t>
  </si>
  <si>
    <t xml:space="preserve">مجتبی حمیدی </t>
  </si>
  <si>
    <t>مسلم صداقب طلب</t>
  </si>
  <si>
    <t>حامد یعقوبی زاده</t>
  </si>
  <si>
    <t>محمد خرمی نیا</t>
  </si>
  <si>
    <t>محمد قربانی</t>
  </si>
  <si>
    <t>احمد شهبازی نیا</t>
  </si>
  <si>
    <t>محمد ملاحی</t>
  </si>
  <si>
    <t>خالد رویین اهلی</t>
  </si>
  <si>
    <t>علی خلیفه</t>
  </si>
  <si>
    <t>جواد باغانی</t>
  </si>
  <si>
    <t>حسین قادری زفره ئی</t>
  </si>
  <si>
    <t>غلامحسین احمدی کتایونچه</t>
  </si>
  <si>
    <t>سیدعلی‌محمد هاشمی</t>
  </si>
  <si>
    <t>محمد معین</t>
  </si>
  <si>
    <t>رضا عنایتی</t>
  </si>
  <si>
    <t>حسین مهدی زاده</t>
  </si>
  <si>
    <t>علیرضا عباسخانی</t>
  </si>
  <si>
    <t>امیررضا صالح پور</t>
  </si>
  <si>
    <t>حامد رحمانی</t>
  </si>
  <si>
    <t>کرمانشاه</t>
  </si>
  <si>
    <t>امید فرخی</t>
  </si>
  <si>
    <t>علی رجب زاده</t>
  </si>
  <si>
    <t>کاشان</t>
  </si>
  <si>
    <t>محمدصادق امیرخانی</t>
  </si>
  <si>
    <t>مشهد</t>
  </si>
  <si>
    <t>محمدمهدی حریری باخدا</t>
  </si>
  <si>
    <t>محسن حسینی</t>
  </si>
  <si>
    <t xml:space="preserve">کاشان </t>
  </si>
  <si>
    <t>محمدحسین رضایی</t>
  </si>
  <si>
    <t>محمدمهدی مصطفوی</t>
  </si>
  <si>
    <t>شهاب عبدی</t>
  </si>
  <si>
    <t>عدالت میری سیاهی</t>
  </si>
  <si>
    <t>مهیار احمدی</t>
  </si>
  <si>
    <t>یوسف راش</t>
  </si>
  <si>
    <t>محمد نورذری</t>
  </si>
  <si>
    <t>محمد باقرجعفری</t>
  </si>
  <si>
    <t>محمد جواد ایران پور</t>
  </si>
  <si>
    <t>حامد اسماعیلی</t>
  </si>
  <si>
    <t>حبیب خدادادی</t>
  </si>
  <si>
    <t>ارشاد قادری</t>
  </si>
  <si>
    <t>طالب حاجی بیگی</t>
  </si>
  <si>
    <t>حسین کیادوست</t>
  </si>
  <si>
    <t>محمدتقی احمدیان</t>
  </si>
  <si>
    <t>محمدرضا جهرمی</t>
  </si>
  <si>
    <t>محمود رحیمی</t>
  </si>
  <si>
    <t>محمد حسین محمودی</t>
  </si>
  <si>
    <t>ستار رنجبر</t>
  </si>
  <si>
    <t>ابوالفضل قربانی</t>
  </si>
  <si>
    <t>ابوالفضل علی وند</t>
  </si>
  <si>
    <t xml:space="preserve">رشیدی نسب </t>
  </si>
  <si>
    <t>مجموع نمرات 30 درصد</t>
  </si>
  <si>
    <t>دانشگاه.دستگاه</t>
  </si>
  <si>
    <t>فایل خلیل قاسمی، به نام عبدالرئوف دفاعی ارسال گردید</t>
  </si>
  <si>
    <t>محمد شیرازیان</t>
  </si>
  <si>
    <t>محسن فعله گیری</t>
  </si>
  <si>
    <t>همدان</t>
  </si>
  <si>
    <t>استفاده از سیستم صوتی</t>
  </si>
  <si>
    <t>ضمنا با استفاده از سیستم صوتی است</t>
  </si>
  <si>
    <t>مجید خلیلی</t>
  </si>
  <si>
    <t>بقیه الله</t>
  </si>
  <si>
    <t>ضمنا با سیستم صوتی میباشد</t>
  </si>
  <si>
    <t>ضمنا با استفاده از سیستم صوتی میباشد</t>
  </si>
  <si>
    <t>مصطفی گدازگر همدانی</t>
  </si>
  <si>
    <t>مهرداد بختیاری</t>
  </si>
  <si>
    <t>یوسف قنبری</t>
  </si>
  <si>
    <t>زنجان</t>
  </si>
  <si>
    <t>ایلام</t>
  </si>
  <si>
    <t>بیرجند</t>
  </si>
  <si>
    <t>سازمان بیمه سلامت</t>
  </si>
  <si>
    <t>شیراز</t>
  </si>
  <si>
    <t>بقیه ال...</t>
  </si>
  <si>
    <t>خراسان شمالی</t>
  </si>
  <si>
    <t>آقای مهدی موسی زاده</t>
  </si>
  <si>
    <t>علوم پزشکی خلخال</t>
  </si>
  <si>
    <t>آقای محمدنقی مولاپور</t>
  </si>
  <si>
    <t>آقای سید مرتضی نجیبی</t>
  </si>
  <si>
    <t>بیمه سلامت</t>
  </si>
  <si>
    <t>رفسنجان</t>
  </si>
  <si>
    <t>هرمزگان</t>
  </si>
  <si>
    <t>اصول و فنون (30)</t>
  </si>
  <si>
    <t>تربت جام</t>
  </si>
  <si>
    <t>علی رضارستمی</t>
  </si>
  <si>
    <t>امیرحسین علی حسینی</t>
  </si>
  <si>
    <t>جهرم</t>
  </si>
  <si>
    <t>امید اصفهانی</t>
  </si>
  <si>
    <t>رحمان جهرمی</t>
  </si>
  <si>
    <t>امیرمحمد سلطانی نژاد</t>
  </si>
  <si>
    <t>اسم ایشان در اکسل ارسالی از دانشگاه نبود</t>
  </si>
  <si>
    <t>قاسم محمدی</t>
  </si>
  <si>
    <t>احمد محمد یحیی برزنجی</t>
  </si>
  <si>
    <t>محمدرضا ابوالقاسمی</t>
  </si>
  <si>
    <t>محمد حسن سنچولی</t>
  </si>
  <si>
    <t>زاهدان</t>
  </si>
  <si>
    <t>اسم ایشان در اکسل ارسالی از سوی دانشگاه نبود</t>
  </si>
  <si>
    <t>محمد حسین شمسی</t>
  </si>
  <si>
    <t>محمود کرمی</t>
  </si>
  <si>
    <t>اسم ایشان در اکسل ارسالی از سوی دانشگاه به اشتباه تایپ شده بود</t>
  </si>
  <si>
    <t>ثارالله شجاعی</t>
  </si>
  <si>
    <t>بهمن آقایی</t>
  </si>
  <si>
    <t>ایات دیگری تلاوت شده است</t>
  </si>
  <si>
    <t>مهدی رمضانی</t>
  </si>
  <si>
    <t xml:space="preserve"> صحت حفظ 50</t>
  </si>
  <si>
    <t>مفاهیم
50</t>
  </si>
  <si>
    <t>مداحی کامل ترکی بود</t>
  </si>
  <si>
    <t>مداحی کامل عربی بود</t>
  </si>
  <si>
    <t>اسم فایل و اسم در اگسل ارسالی از دانشگاه فرق میکند
(سید عباس موسوی)</t>
  </si>
  <si>
    <t>فقط سینه زنی میباشد</t>
  </si>
  <si>
    <t>اسم فایل و اسم در اگسل ارسالی از دانشگاه فرق میکند
(قاسم نوذری)</t>
  </si>
  <si>
    <t>اسم ایشان، در ابتدا باید توسط دانشگاه مقصد تایید شود</t>
  </si>
  <si>
    <t>فاقد فایل</t>
  </si>
  <si>
    <t>عدم حضور در آزمون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</si>
</sst>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9"/>
    <numFmt numFmtId="165" formatCode="00000000000"/>
    <numFmt numFmtId="166" formatCode="0000000000"/>
  </numFmts>
  <fonts count="21"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b/>
      <sz val="10"/>
      <name val="B Koodak"/>
      <charset val="178"/>
    </font>
    <font>
      <b/>
      <sz val="10"/>
      <color theme="1"/>
      <name val="B Koodak"/>
      <charset val="178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2"/>
      <color rgb="FFFF0000"/>
      <name val="B Nazanin"/>
      <charset val="178"/>
    </font>
    <font>
      <sz val="11"/>
      <color theme="1"/>
      <name val="B Koodak"/>
      <charset val="178"/>
    </font>
    <font>
      <b/>
      <sz val="12"/>
      <color theme="1"/>
      <name val="B Koodak"/>
      <charset val="178"/>
    </font>
    <font>
      <b/>
      <sz val="11"/>
      <color theme="1"/>
      <name val="B Koodak"/>
      <charset val="178"/>
    </font>
    <font>
      <b/>
      <sz val="14"/>
      <name val="B Nazanin"/>
      <charset val="178"/>
    </font>
    <font>
      <b/>
      <sz val="14"/>
      <color rgb="FFFF0000"/>
      <name val="B Nazanin"/>
      <charset val="178"/>
    </font>
    <font>
      <b/>
      <sz val="14"/>
      <color theme="1"/>
      <name val="B Koodak"/>
      <charset val="178"/>
    </font>
    <font>
      <sz val="14"/>
      <color theme="1"/>
      <name val="2  Titr"/>
      <charset val="178"/>
    </font>
    <font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11.25"/>
      <color theme="1"/>
      <name val="B Koodak"/>
      <charset val="17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9" borderId="6" applyNumberForma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</cellStyleXfs>
  <cellXfs count="24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16" borderId="1" xfId="0" applyFont="1" applyFill="1" applyBorder="1" applyAlignment="1">
      <alignment horizontal="center" vertical="center"/>
    </xf>
    <xf numFmtId="1" fontId="4" fillId="16" borderId="1" xfId="0" applyNumberFormat="1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 wrapText="1" readingOrder="2"/>
    </xf>
    <xf numFmtId="0" fontId="4" fillId="21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4" fillId="22" borderId="1" xfId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/>
    </xf>
    <xf numFmtId="0" fontId="4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16" borderId="1" xfId="0" applyFont="1" applyFill="1" applyBorder="1"/>
    <xf numFmtId="0" fontId="4" fillId="17" borderId="4" xfId="0" applyFont="1" applyFill="1" applyBorder="1" applyAlignment="1">
      <alignment horizontal="center" vertical="center"/>
    </xf>
    <xf numFmtId="1" fontId="4" fillId="22" borderId="1" xfId="0" applyNumberFormat="1" applyFont="1" applyFill="1" applyBorder="1" applyAlignment="1">
      <alignment horizontal="center" vertical="center"/>
    </xf>
    <xf numFmtId="1" fontId="4" fillId="17" borderId="1" xfId="0" applyNumberFormat="1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/>
    </xf>
    <xf numFmtId="0" fontId="11" fillId="23" borderId="1" xfId="0" applyFont="1" applyFill="1" applyBorder="1"/>
    <xf numFmtId="0" fontId="12" fillId="16" borderId="1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center" vertical="center"/>
    </xf>
    <xf numFmtId="165" fontId="13" fillId="16" borderId="1" xfId="0" applyNumberFormat="1" applyFont="1" applyFill="1" applyBorder="1" applyAlignment="1">
      <alignment horizontal="center" vertical="center"/>
    </xf>
    <xf numFmtId="166" fontId="13" fillId="16" borderId="1" xfId="0" applyNumberFormat="1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165" fontId="13" fillId="21" borderId="1" xfId="0" applyNumberFormat="1" applyFont="1" applyFill="1" applyBorder="1" applyAlignment="1">
      <alignment horizontal="center" vertical="center"/>
    </xf>
    <xf numFmtId="166" fontId="13" fillId="21" borderId="1" xfId="0" applyNumberFormat="1" applyFont="1" applyFill="1" applyBorder="1" applyAlignment="1">
      <alignment horizontal="center" vertical="center"/>
    </xf>
    <xf numFmtId="0" fontId="13" fillId="16" borderId="1" xfId="6" applyFont="1" applyFill="1" applyBorder="1" applyAlignment="1">
      <alignment horizontal="center" vertical="center"/>
    </xf>
    <xf numFmtId="1" fontId="13" fillId="16" borderId="1" xfId="0" applyNumberFormat="1" applyFont="1" applyFill="1" applyBorder="1" applyAlignment="1">
      <alignment horizontal="center" vertical="center"/>
    </xf>
    <xf numFmtId="0" fontId="13" fillId="21" borderId="1" xfId="6" applyFont="1" applyFill="1" applyBorder="1" applyAlignment="1">
      <alignment horizontal="center" vertical="center"/>
    </xf>
    <xf numFmtId="1" fontId="13" fillId="21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/>
    </xf>
    <xf numFmtId="0" fontId="11" fillId="18" borderId="1" xfId="0" applyFont="1" applyFill="1" applyBorder="1"/>
    <xf numFmtId="0" fontId="13" fillId="18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/>
    </xf>
    <xf numFmtId="0" fontId="13" fillId="22" borderId="1" xfId="0" applyFont="1" applyFill="1" applyBorder="1" applyAlignment="1">
      <alignment horizontal="center" vertical="center"/>
    </xf>
    <xf numFmtId="165" fontId="13" fillId="22" borderId="1" xfId="0" applyNumberFormat="1" applyFont="1" applyFill="1" applyBorder="1" applyAlignment="1">
      <alignment horizontal="center" vertical="center"/>
    </xf>
    <xf numFmtId="166" fontId="13" fillId="22" borderId="1" xfId="0" applyNumberFormat="1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2" fontId="3" fillId="18" borderId="1" xfId="0" applyNumberFormat="1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1" fontId="13" fillId="22" borderId="1" xfId="0" applyNumberFormat="1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2" fontId="3" fillId="24" borderId="1" xfId="0" applyNumberFormat="1" applyFont="1" applyFill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center" vertical="center" wrapText="1"/>
    </xf>
    <xf numFmtId="0" fontId="13" fillId="24" borderId="1" xfId="5" applyFont="1" applyFill="1" applyBorder="1" applyAlignment="1">
      <alignment horizontal="center" vertical="center"/>
    </xf>
    <xf numFmtId="2" fontId="3" fillId="24" borderId="1" xfId="0" applyNumberFormat="1" applyFont="1" applyFill="1" applyBorder="1" applyAlignment="1">
      <alignment horizontal="center" vertical="center"/>
    </xf>
    <xf numFmtId="0" fontId="13" fillId="24" borderId="1" xfId="0" applyFont="1" applyFill="1" applyBorder="1" applyAlignment="1">
      <alignment horizontal="center" vertical="center"/>
    </xf>
    <xf numFmtId="165" fontId="13" fillId="18" borderId="1" xfId="0" applyNumberFormat="1" applyFont="1" applyFill="1" applyBorder="1" applyAlignment="1">
      <alignment horizontal="center" vertical="center"/>
    </xf>
    <xf numFmtId="166" fontId="13" fillId="18" borderId="1" xfId="0" applyNumberFormat="1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/>
    </xf>
    <xf numFmtId="0" fontId="11" fillId="17" borderId="1" xfId="0" applyFont="1" applyFill="1" applyBorder="1"/>
    <xf numFmtId="0" fontId="11" fillId="17" borderId="1" xfId="0" applyFont="1" applyFill="1" applyBorder="1" applyAlignment="1">
      <alignment horizontal="center" vertical="center"/>
    </xf>
    <xf numFmtId="1" fontId="11" fillId="17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 wrapText="1"/>
    </xf>
    <xf numFmtId="1" fontId="4" fillId="25" borderId="1" xfId="0" applyNumberFormat="1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1" fontId="4" fillId="6" borderId="1" xfId="0" applyNumberFormat="1" applyFont="1" applyFill="1" applyBorder="1"/>
    <xf numFmtId="0" fontId="4" fillId="16" borderId="1" xfId="7" applyFont="1" applyFill="1" applyBorder="1" applyAlignment="1">
      <alignment horizontal="center" vertical="center"/>
    </xf>
    <xf numFmtId="1" fontId="4" fillId="16" borderId="1" xfId="0" applyNumberFormat="1" applyFont="1" applyFill="1" applyBorder="1" applyAlignment="1">
      <alignment horizontal="center" vertical="center"/>
    </xf>
    <xf numFmtId="0" fontId="4" fillId="23" borderId="1" xfId="0" applyFont="1" applyFill="1" applyBorder="1"/>
    <xf numFmtId="0" fontId="4" fillId="23" borderId="1" xfId="7" applyFont="1" applyFill="1" applyBorder="1" applyAlignment="1">
      <alignment horizontal="center" vertical="center"/>
    </xf>
    <xf numFmtId="1" fontId="4" fillId="23" borderId="1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64" fontId="4" fillId="19" borderId="1" xfId="0" applyNumberFormat="1" applyFont="1" applyFill="1" applyBorder="1" applyAlignment="1">
      <alignment horizontal="center" vertical="center"/>
    </xf>
    <xf numFmtId="1" fontId="4" fillId="19" borderId="1" xfId="0" applyNumberFormat="1" applyFont="1" applyFill="1" applyBorder="1" applyAlignment="1">
      <alignment horizontal="center" vertical="center"/>
    </xf>
    <xf numFmtId="1" fontId="4" fillId="19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4" fillId="20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14" fillId="22" borderId="1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/>
    </xf>
    <xf numFmtId="0" fontId="15" fillId="22" borderId="1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4" fillId="27" borderId="1" xfId="0" applyFont="1" applyFill="1" applyBorder="1" applyAlignment="1">
      <alignment horizontal="center" vertical="center"/>
    </xf>
    <xf numFmtId="1" fontId="4" fillId="27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6" borderId="4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22" borderId="1" xfId="2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2" fontId="3" fillId="16" borderId="1" xfId="0" applyNumberFormat="1" applyFont="1" applyFill="1" applyBorder="1" applyAlignment="1">
      <alignment horizontal="center" vertical="center" wrapText="1"/>
    </xf>
    <xf numFmtId="2" fontId="3" fillId="21" borderId="1" xfId="0" applyNumberFormat="1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horizontal="center" vertical="center"/>
    </xf>
    <xf numFmtId="2" fontId="3" fillId="28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1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7" fillId="6" borderId="1" xfId="0" applyFont="1" applyFill="1" applyBorder="1"/>
    <xf numFmtId="0" fontId="18" fillId="6" borderId="1" xfId="0" applyFont="1" applyFill="1" applyBorder="1"/>
    <xf numFmtId="0" fontId="0" fillId="6" borderId="1" xfId="0" applyFill="1" applyBorder="1"/>
    <xf numFmtId="0" fontId="4" fillId="25" borderId="0" xfId="0" applyFont="1" applyFill="1" applyAlignment="1">
      <alignment horizontal="center" vertical="center"/>
    </xf>
    <xf numFmtId="0" fontId="0" fillId="17" borderId="1" xfId="0" applyFill="1" applyBorder="1"/>
    <xf numFmtId="0" fontId="4" fillId="17" borderId="1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 vertical="center"/>
    </xf>
    <xf numFmtId="0" fontId="0" fillId="18" borderId="1" xfId="0" applyFill="1" applyBorder="1"/>
    <xf numFmtId="0" fontId="14" fillId="21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4" fillId="22" borderId="1" xfId="0" applyNumberFormat="1" applyFont="1" applyFill="1" applyBorder="1" applyAlignment="1">
      <alignment horizontal="center"/>
    </xf>
    <xf numFmtId="0" fontId="6" fillId="22" borderId="1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/>
    </xf>
    <xf numFmtId="1" fontId="6" fillId="22" borderId="1" xfId="0" applyNumberFormat="1" applyFont="1" applyFill="1" applyBorder="1" applyAlignment="1">
      <alignment horizontal="center"/>
    </xf>
    <xf numFmtId="0" fontId="4" fillId="25" borderId="4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/>
    </xf>
    <xf numFmtId="1" fontId="6" fillId="25" borderId="1" xfId="0" applyNumberFormat="1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/>
    </xf>
    <xf numFmtId="0" fontId="6" fillId="25" borderId="1" xfId="0" applyFont="1" applyFill="1" applyBorder="1" applyAlignment="1">
      <alignment horizontal="center" vertical="center" wrapText="1" readingOrder="2"/>
    </xf>
    <xf numFmtId="0" fontId="6" fillId="2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right" vertical="center" wrapText="1"/>
    </xf>
    <xf numFmtId="0" fontId="1" fillId="16" borderId="1" xfId="0" applyFont="1" applyFill="1" applyBorder="1" applyAlignment="1">
      <alignment horizontal="center" vertical="center"/>
    </xf>
    <xf numFmtId="1" fontId="1" fillId="16" borderId="1" xfId="0" applyNumberFormat="1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23" borderId="1" xfId="0" applyFont="1" applyFill="1" applyBorder="1" applyAlignment="1">
      <alignment horizontal="center" vertical="center"/>
    </xf>
    <xf numFmtId="165" fontId="1" fillId="23" borderId="1" xfId="0" applyNumberFormat="1" applyFont="1" applyFill="1" applyBorder="1" applyAlignment="1">
      <alignment horizontal="center" vertical="center"/>
    </xf>
    <xf numFmtId="166" fontId="1" fillId="23" borderId="1" xfId="0" applyNumberFormat="1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28" borderId="1" xfId="0" applyFont="1" applyFill="1" applyBorder="1" applyAlignment="1">
      <alignment horizontal="center" vertical="center" wrapText="1"/>
    </xf>
    <xf numFmtId="0" fontId="4" fillId="18" borderId="1" xfId="8" applyFont="1" applyFill="1" applyBorder="1" applyAlignment="1">
      <alignment horizontal="center" vertical="center"/>
    </xf>
    <xf numFmtId="0" fontId="4" fillId="15" borderId="1" xfId="8" applyFont="1" applyFill="1" applyBorder="1" applyAlignment="1">
      <alignment horizontal="center" vertical="center"/>
    </xf>
    <xf numFmtId="0" fontId="4" fillId="15" borderId="1" xfId="4" applyFont="1" applyFill="1" applyBorder="1" applyAlignment="1">
      <alignment horizontal="center" vertical="center"/>
    </xf>
    <xf numFmtId="1" fontId="4" fillId="26" borderId="1" xfId="0" applyNumberFormat="1" applyFont="1" applyFill="1" applyBorder="1" applyAlignment="1">
      <alignment horizontal="center" vertical="center"/>
    </xf>
    <xf numFmtId="0" fontId="4" fillId="17" borderId="1" xfId="8" applyFont="1" applyFill="1" applyBorder="1" applyAlignment="1">
      <alignment horizontal="center" vertical="center"/>
    </xf>
    <xf numFmtId="0" fontId="4" fillId="17" borderId="1" xfId="4" applyFont="1" applyFill="1" applyBorder="1" applyAlignment="1">
      <alignment horizontal="center" vertical="center"/>
    </xf>
    <xf numFmtId="49" fontId="4" fillId="17" borderId="1" xfId="0" applyNumberFormat="1" applyFont="1" applyFill="1" applyBorder="1" applyAlignment="1">
      <alignment horizontal="center"/>
    </xf>
    <xf numFmtId="0" fontId="4" fillId="29" borderId="9" xfId="0" applyFont="1" applyFill="1" applyBorder="1" applyAlignment="1">
      <alignment horizontal="center" vertical="center"/>
    </xf>
    <xf numFmtId="0" fontId="4" fillId="28" borderId="9" xfId="0" applyFont="1" applyFill="1" applyBorder="1" applyAlignment="1">
      <alignment horizontal="center" vertical="center"/>
    </xf>
    <xf numFmtId="0" fontId="4" fillId="28" borderId="9" xfId="0" applyFont="1" applyFill="1" applyBorder="1" applyAlignment="1">
      <alignment horizontal="center" vertical="center" wrapText="1"/>
    </xf>
    <xf numFmtId="0" fontId="4" fillId="28" borderId="1" xfId="0" applyFont="1" applyFill="1" applyBorder="1" applyAlignment="1">
      <alignment horizontal="center" vertical="center" wrapText="1"/>
    </xf>
    <xf numFmtId="1" fontId="13" fillId="21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" fontId="13" fillId="21" borderId="0" xfId="0" applyNumberFormat="1" applyFont="1" applyFill="1" applyAlignment="1">
      <alignment horizontal="center"/>
    </xf>
    <xf numFmtId="0" fontId="20" fillId="16" borderId="0" xfId="0" applyFont="1" applyFill="1" applyAlignment="1">
      <alignment horizontal="center"/>
    </xf>
    <xf numFmtId="1" fontId="13" fillId="16" borderId="8" xfId="0" applyNumberFormat="1" applyFont="1" applyFill="1" applyBorder="1" applyAlignment="1">
      <alignment horizontal="center" vertical="center"/>
    </xf>
    <xf numFmtId="1" fontId="16" fillId="16" borderId="1" xfId="0" applyNumberFormat="1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2" fontId="3" fillId="22" borderId="1" xfId="0" applyNumberFormat="1" applyFont="1" applyFill="1" applyBorder="1" applyAlignment="1">
      <alignment horizontal="center" vertical="center" wrapText="1" readingOrder="2"/>
    </xf>
    <xf numFmtId="2" fontId="3" fillId="22" borderId="1" xfId="0" applyNumberFormat="1" applyFont="1" applyFill="1" applyBorder="1" applyAlignment="1">
      <alignment horizontal="center" vertical="center" wrapText="1"/>
    </xf>
    <xf numFmtId="0" fontId="13" fillId="24" borderId="1" xfId="3" applyFont="1" applyFill="1" applyBorder="1" applyAlignment="1">
      <alignment horizontal="center" vertical="center"/>
    </xf>
    <xf numFmtId="1" fontId="16" fillId="22" borderId="1" xfId="0" applyNumberFormat="1" applyFont="1" applyFill="1" applyBorder="1" applyAlignment="1">
      <alignment horizontal="center" vertical="center" wrapText="1"/>
    </xf>
    <xf numFmtId="1" fontId="16" fillId="24" borderId="1" xfId="0" applyNumberFormat="1" applyFont="1" applyFill="1" applyBorder="1" applyAlignment="1">
      <alignment horizontal="center" vertical="center" wrapText="1"/>
    </xf>
    <xf numFmtId="0" fontId="3" fillId="30" borderId="1" xfId="0" applyFont="1" applyFill="1" applyBorder="1" applyAlignment="1">
      <alignment horizontal="center" vertical="center" wrapText="1"/>
    </xf>
    <xf numFmtId="0" fontId="12" fillId="24" borderId="0" xfId="0" applyFont="1" applyFill="1" applyAlignment="1">
      <alignment horizontal="center" vertical="center"/>
    </xf>
    <xf numFmtId="0" fontId="13" fillId="22" borderId="1" xfId="0" applyFont="1" applyFill="1" applyBorder="1" applyAlignment="1">
      <alignment horizontal="center"/>
    </xf>
    <xf numFmtId="0" fontId="12" fillId="22" borderId="0" xfId="0" applyFont="1" applyFill="1" applyAlignment="1">
      <alignment horizontal="center" vertical="center"/>
    </xf>
    <xf numFmtId="1" fontId="13" fillId="24" borderId="1" xfId="0" applyNumberFormat="1" applyFont="1" applyFill="1" applyBorder="1" applyAlignment="1">
      <alignment horizontal="center"/>
    </xf>
    <xf numFmtId="0" fontId="2" fillId="18" borderId="2" xfId="0" applyFont="1" applyFill="1" applyBorder="1" applyAlignment="1">
      <alignment horizontal="center" vertical="center" wrapText="1"/>
    </xf>
    <xf numFmtId="0" fontId="2" fillId="23" borderId="9" xfId="0" applyFont="1" applyFill="1" applyBorder="1" applyAlignment="1">
      <alignment horizontal="center" vertical="center" wrapText="1"/>
    </xf>
    <xf numFmtId="0" fontId="0" fillId="23" borderId="1" xfId="0" applyFill="1" applyBorder="1"/>
    <xf numFmtId="0" fontId="2" fillId="1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/>
    </xf>
    <xf numFmtId="0" fontId="12" fillId="25" borderId="1" xfId="0" applyFont="1" applyFill="1" applyBorder="1" applyAlignment="1">
      <alignment horizontal="center" vertical="center" wrapText="1"/>
    </xf>
    <xf numFmtId="1" fontId="12" fillId="25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/>
    </xf>
    <xf numFmtId="2" fontId="5" fillId="21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2" fontId="5" fillId="18" borderId="1" xfId="0" applyNumberFormat="1" applyFont="1" applyFill="1" applyBorder="1" applyAlignment="1">
      <alignment horizontal="center" vertical="center" wrapText="1"/>
    </xf>
    <xf numFmtId="0" fontId="5" fillId="29" borderId="9" xfId="0" applyFont="1" applyFill="1" applyBorder="1" applyAlignment="1">
      <alignment horizontal="center" vertical="center"/>
    </xf>
    <xf numFmtId="0" fontId="5" fillId="28" borderId="1" xfId="0" applyFont="1" applyFill="1" applyBorder="1" applyAlignment="1">
      <alignment horizontal="center" vertical="center"/>
    </xf>
    <xf numFmtId="2" fontId="5" fillId="28" borderId="1" xfId="0" applyNumberFormat="1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" fontId="0" fillId="25" borderId="1" xfId="0" applyNumberFormat="1" applyFill="1" applyBorder="1"/>
    <xf numFmtId="0" fontId="0" fillId="25" borderId="1" xfId="0" applyFill="1" applyBorder="1"/>
  </cellXfs>
  <cellStyles count="9">
    <cellStyle name="20% - Accent4" xfId="7" builtinId="42"/>
    <cellStyle name="40% - Accent1" xfId="4" builtinId="31"/>
    <cellStyle name="40% - Accent2" xfId="5" builtinId="35"/>
    <cellStyle name="40% - Accent3" xfId="6" builtinId="39"/>
    <cellStyle name="40% - Accent5" xfId="8" builtinId="47"/>
    <cellStyle name="40% - Accent6" xfId="1" builtinId="51"/>
    <cellStyle name="Bad" xfId="2" builtinId="27"/>
    <cellStyle name="Input" xfId="3" builtinId="20"/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17"/>
  <sheetViews>
    <sheetView rightToLeft="1" tabSelected="1" topLeftCell="D103" zoomScale="90" zoomScaleNormal="90" workbookViewId="0">
      <selection activeCell="P111" sqref="P111"/>
    </sheetView>
  </sheetViews>
  <sheetFormatPr defaultColWidth="9.125" defaultRowHeight="22.5"/>
  <cols>
    <col min="1" max="1" width="5.625" style="222" bestFit="1" customWidth="1"/>
    <col min="2" max="2" width="26.625" style="222" customWidth="1"/>
    <col min="3" max="3" width="15.75" style="222" bestFit="1" customWidth="1"/>
    <col min="4" max="4" width="2.625" style="222" customWidth="1"/>
    <col min="5" max="5" width="5.25" style="222" bestFit="1" customWidth="1"/>
    <col min="6" max="6" width="5.375" style="222" customWidth="1"/>
    <col min="7" max="7" width="6.875" style="222" bestFit="1" customWidth="1"/>
    <col min="8" max="8" width="31" style="222" customWidth="1"/>
    <col min="9" max="9" width="6.625" style="222" customWidth="1"/>
    <col min="10" max="10" width="10" style="222" bestFit="1" customWidth="1"/>
    <col min="11" max="11" width="11.375" style="222" customWidth="1"/>
    <col min="12" max="12" width="13.875" style="222" customWidth="1"/>
    <col min="13" max="15" width="12.625" style="222" customWidth="1"/>
    <col min="16" max="16" width="40.375" style="222" bestFit="1" customWidth="1"/>
    <col min="17" max="16384" width="9.125" style="222"/>
  </cols>
  <sheetData>
    <row r="1" spans="1:16" ht="112.5">
      <c r="A1" s="220" t="s">
        <v>0</v>
      </c>
      <c r="B1" s="221" t="s">
        <v>1</v>
      </c>
      <c r="C1" s="221" t="s">
        <v>2</v>
      </c>
      <c r="D1" s="220" t="s">
        <v>16</v>
      </c>
      <c r="E1" s="220" t="s">
        <v>15</v>
      </c>
      <c r="F1" s="221" t="s">
        <v>50</v>
      </c>
      <c r="G1" s="220" t="s">
        <v>14</v>
      </c>
      <c r="H1" s="221" t="s">
        <v>17</v>
      </c>
      <c r="I1" s="221" t="s">
        <v>3</v>
      </c>
      <c r="J1" s="221" t="s">
        <v>4</v>
      </c>
      <c r="K1" s="221" t="s">
        <v>6</v>
      </c>
      <c r="L1" s="221" t="s">
        <v>7</v>
      </c>
      <c r="M1" s="221" t="s">
        <v>8</v>
      </c>
      <c r="N1" s="221" t="s">
        <v>9</v>
      </c>
      <c r="O1" s="221" t="s">
        <v>5</v>
      </c>
      <c r="P1" s="221" t="s">
        <v>18</v>
      </c>
    </row>
    <row r="2" spans="1:16" ht="20.100000000000001" customHeight="1">
      <c r="A2" s="223">
        <v>1</v>
      </c>
      <c r="B2" s="223" t="s">
        <v>298</v>
      </c>
      <c r="C2" s="223"/>
      <c r="D2" s="223" t="s">
        <v>168</v>
      </c>
      <c r="E2" s="223" t="s">
        <v>79</v>
      </c>
      <c r="F2" s="223"/>
      <c r="G2" s="223" t="s">
        <v>24</v>
      </c>
      <c r="H2" s="223" t="s">
        <v>299</v>
      </c>
      <c r="I2" s="223" t="s">
        <v>101</v>
      </c>
      <c r="J2" s="223" t="s">
        <v>82</v>
      </c>
      <c r="K2" s="223">
        <v>16.5</v>
      </c>
      <c r="L2" s="223">
        <v>23</v>
      </c>
      <c r="M2" s="223">
        <v>31</v>
      </c>
      <c r="N2" s="223">
        <v>15</v>
      </c>
      <c r="O2" s="224">
        <f t="shared" ref="O2:O33" si="0">SUM(K2:N2)</f>
        <v>85.5</v>
      </c>
      <c r="P2" s="223"/>
    </row>
    <row r="3" spans="1:16" ht="20.100000000000001" customHeight="1">
      <c r="A3" s="223">
        <v>2</v>
      </c>
      <c r="B3" s="223" t="s">
        <v>210</v>
      </c>
      <c r="C3" s="223"/>
      <c r="D3" s="223" t="s">
        <v>168</v>
      </c>
      <c r="E3" s="223" t="s">
        <v>103</v>
      </c>
      <c r="F3" s="223"/>
      <c r="G3" s="223" t="s">
        <v>24</v>
      </c>
      <c r="H3" s="223" t="s">
        <v>127</v>
      </c>
      <c r="I3" s="223" t="s">
        <v>81</v>
      </c>
      <c r="J3" s="223" t="s">
        <v>85</v>
      </c>
      <c r="K3" s="224">
        <v>16.25</v>
      </c>
      <c r="L3" s="223">
        <v>24</v>
      </c>
      <c r="M3" s="224">
        <v>30</v>
      </c>
      <c r="N3" s="224">
        <v>15</v>
      </c>
      <c r="O3" s="224">
        <f t="shared" si="0"/>
        <v>85.25</v>
      </c>
      <c r="P3" s="224"/>
    </row>
    <row r="4" spans="1:16" ht="20.100000000000001" customHeight="1">
      <c r="A4" s="223">
        <v>3</v>
      </c>
      <c r="B4" s="223" t="s">
        <v>192</v>
      </c>
      <c r="C4" s="223"/>
      <c r="D4" s="223" t="s">
        <v>168</v>
      </c>
      <c r="E4" s="223" t="s">
        <v>79</v>
      </c>
      <c r="F4" s="223"/>
      <c r="G4" s="223" t="s">
        <v>24</v>
      </c>
      <c r="H4" s="223" t="s">
        <v>56</v>
      </c>
      <c r="I4" s="223" t="s">
        <v>101</v>
      </c>
      <c r="J4" s="223" t="s">
        <v>85</v>
      </c>
      <c r="K4" s="224">
        <v>14.75</v>
      </c>
      <c r="L4" s="223">
        <v>23.25</v>
      </c>
      <c r="M4" s="224">
        <v>30</v>
      </c>
      <c r="N4" s="224">
        <v>15</v>
      </c>
      <c r="O4" s="224">
        <f t="shared" si="0"/>
        <v>83</v>
      </c>
      <c r="P4" s="224"/>
    </row>
    <row r="5" spans="1:16" ht="20.100000000000001" customHeight="1">
      <c r="A5" s="223">
        <v>4</v>
      </c>
      <c r="B5" s="223" t="s">
        <v>291</v>
      </c>
      <c r="C5" s="223"/>
      <c r="D5" s="223" t="s">
        <v>168</v>
      </c>
      <c r="E5" s="223" t="s">
        <v>79</v>
      </c>
      <c r="F5" s="223"/>
      <c r="G5" s="223" t="s">
        <v>24</v>
      </c>
      <c r="H5" s="223" t="s">
        <v>71</v>
      </c>
      <c r="I5" s="223" t="s">
        <v>86</v>
      </c>
      <c r="J5" s="223" t="s">
        <v>85</v>
      </c>
      <c r="K5" s="223">
        <v>13.75</v>
      </c>
      <c r="L5" s="223">
        <v>22.5</v>
      </c>
      <c r="M5" s="223">
        <v>30</v>
      </c>
      <c r="N5" s="223">
        <v>15</v>
      </c>
      <c r="O5" s="224">
        <f t="shared" si="0"/>
        <v>81.25</v>
      </c>
      <c r="P5" s="223"/>
    </row>
    <row r="6" spans="1:16" ht="20.100000000000001" customHeight="1">
      <c r="A6" s="223">
        <v>5</v>
      </c>
      <c r="B6" s="223" t="s">
        <v>285</v>
      </c>
      <c r="C6" s="223"/>
      <c r="D6" s="223" t="s">
        <v>168</v>
      </c>
      <c r="E6" s="223" t="s">
        <v>79</v>
      </c>
      <c r="F6" s="223"/>
      <c r="G6" s="223" t="s">
        <v>24</v>
      </c>
      <c r="H6" s="223" t="s">
        <v>58</v>
      </c>
      <c r="I6" s="223" t="s">
        <v>81</v>
      </c>
      <c r="J6" s="223" t="s">
        <v>82</v>
      </c>
      <c r="K6" s="224">
        <v>14</v>
      </c>
      <c r="L6" s="224">
        <v>21</v>
      </c>
      <c r="M6" s="224">
        <v>29</v>
      </c>
      <c r="N6" s="224">
        <v>15</v>
      </c>
      <c r="O6" s="224">
        <f t="shared" si="0"/>
        <v>79</v>
      </c>
      <c r="P6" s="224"/>
    </row>
    <row r="7" spans="1:16" ht="20.100000000000001" customHeight="1">
      <c r="A7" s="223">
        <v>6</v>
      </c>
      <c r="B7" s="223" t="s">
        <v>170</v>
      </c>
      <c r="C7" s="223"/>
      <c r="D7" s="223" t="s">
        <v>168</v>
      </c>
      <c r="E7" s="223" t="s">
        <v>79</v>
      </c>
      <c r="F7" s="223"/>
      <c r="G7" s="223" t="s">
        <v>24</v>
      </c>
      <c r="H7" s="223" t="s">
        <v>73</v>
      </c>
      <c r="I7" s="223" t="s">
        <v>24</v>
      </c>
      <c r="J7" s="223" t="s">
        <v>85</v>
      </c>
      <c r="K7" s="224">
        <v>14</v>
      </c>
      <c r="L7" s="223">
        <v>21</v>
      </c>
      <c r="M7" s="224">
        <v>28</v>
      </c>
      <c r="N7" s="224">
        <v>15</v>
      </c>
      <c r="O7" s="224">
        <f t="shared" si="0"/>
        <v>78</v>
      </c>
      <c r="P7" s="224"/>
    </row>
    <row r="8" spans="1:16" ht="20.100000000000001" customHeight="1">
      <c r="A8" s="223">
        <v>7</v>
      </c>
      <c r="B8" s="223" t="s">
        <v>272</v>
      </c>
      <c r="C8" s="223"/>
      <c r="D8" s="223" t="s">
        <v>168</v>
      </c>
      <c r="E8" s="223" t="s">
        <v>79</v>
      </c>
      <c r="F8" s="223"/>
      <c r="G8" s="223" t="s">
        <v>24</v>
      </c>
      <c r="H8" s="223" t="s">
        <v>100</v>
      </c>
      <c r="I8" s="223" t="s">
        <v>101</v>
      </c>
      <c r="J8" s="223" t="s">
        <v>82</v>
      </c>
      <c r="K8" s="224">
        <v>13.25</v>
      </c>
      <c r="L8" s="224">
        <v>20</v>
      </c>
      <c r="M8" s="224">
        <v>29</v>
      </c>
      <c r="N8" s="224">
        <v>15</v>
      </c>
      <c r="O8" s="224">
        <f t="shared" si="0"/>
        <v>77.25</v>
      </c>
      <c r="P8" s="224"/>
    </row>
    <row r="9" spans="1:16" ht="20.100000000000001" customHeight="1">
      <c r="A9" s="223">
        <v>8</v>
      </c>
      <c r="B9" s="223" t="s">
        <v>171</v>
      </c>
      <c r="C9" s="223"/>
      <c r="D9" s="223" t="s">
        <v>168</v>
      </c>
      <c r="E9" s="223" t="s">
        <v>79</v>
      </c>
      <c r="F9" s="223"/>
      <c r="G9" s="223" t="s">
        <v>24</v>
      </c>
      <c r="H9" s="223" t="s">
        <v>80</v>
      </c>
      <c r="I9" s="223" t="s">
        <v>89</v>
      </c>
      <c r="J9" s="223" t="s">
        <v>82</v>
      </c>
      <c r="K9" s="224">
        <v>13.5</v>
      </c>
      <c r="L9" s="223">
        <v>20.5</v>
      </c>
      <c r="M9" s="224">
        <v>28</v>
      </c>
      <c r="N9" s="224">
        <v>15</v>
      </c>
      <c r="O9" s="224">
        <f t="shared" si="0"/>
        <v>77</v>
      </c>
      <c r="P9" s="224"/>
    </row>
    <row r="10" spans="1:16" ht="20.100000000000001" customHeight="1">
      <c r="A10" s="223">
        <v>9</v>
      </c>
      <c r="B10" s="223" t="s">
        <v>293</v>
      </c>
      <c r="C10" s="223"/>
      <c r="D10" s="223" t="s">
        <v>168</v>
      </c>
      <c r="E10" s="223" t="s">
        <v>79</v>
      </c>
      <c r="F10" s="223"/>
      <c r="G10" s="223" t="s">
        <v>24</v>
      </c>
      <c r="H10" s="223" t="s">
        <v>75</v>
      </c>
      <c r="I10" s="223"/>
      <c r="J10" s="223" t="s">
        <v>85</v>
      </c>
      <c r="K10" s="223">
        <v>14.75</v>
      </c>
      <c r="L10" s="223">
        <v>21.75</v>
      </c>
      <c r="M10" s="223">
        <v>26</v>
      </c>
      <c r="N10" s="223">
        <v>14</v>
      </c>
      <c r="O10" s="224">
        <f t="shared" si="0"/>
        <v>76.5</v>
      </c>
      <c r="P10" s="223"/>
    </row>
    <row r="11" spans="1:16" ht="20.100000000000001" customHeight="1">
      <c r="A11" s="223">
        <v>10</v>
      </c>
      <c r="B11" s="223" t="s">
        <v>226</v>
      </c>
      <c r="C11" s="223"/>
      <c r="D11" s="223" t="s">
        <v>168</v>
      </c>
      <c r="E11" s="223" t="s">
        <v>79</v>
      </c>
      <c r="F11" s="223"/>
      <c r="G11" s="223" t="s">
        <v>24</v>
      </c>
      <c r="H11" s="223" t="s">
        <v>30</v>
      </c>
      <c r="I11" s="223" t="s">
        <v>86</v>
      </c>
      <c r="J11" s="223" t="s">
        <v>82</v>
      </c>
      <c r="K11" s="224">
        <v>13</v>
      </c>
      <c r="L11" s="224">
        <v>20.75</v>
      </c>
      <c r="M11" s="224">
        <v>26</v>
      </c>
      <c r="N11" s="224">
        <v>15</v>
      </c>
      <c r="O11" s="224">
        <f t="shared" si="0"/>
        <v>74.75</v>
      </c>
      <c r="P11" s="224"/>
    </row>
    <row r="12" spans="1:16" ht="20.100000000000001" customHeight="1">
      <c r="A12" s="223">
        <v>11</v>
      </c>
      <c r="B12" s="223" t="s">
        <v>229</v>
      </c>
      <c r="C12" s="223"/>
      <c r="D12" s="223" t="s">
        <v>168</v>
      </c>
      <c r="E12" s="223" t="s">
        <v>79</v>
      </c>
      <c r="F12" s="223"/>
      <c r="G12" s="223" t="s">
        <v>24</v>
      </c>
      <c r="H12" s="223" t="s">
        <v>64</v>
      </c>
      <c r="I12" s="223" t="s">
        <v>101</v>
      </c>
      <c r="J12" s="223" t="s">
        <v>85</v>
      </c>
      <c r="K12" s="224">
        <v>13.25</v>
      </c>
      <c r="L12" s="224">
        <v>21.5</v>
      </c>
      <c r="M12" s="224">
        <v>26</v>
      </c>
      <c r="N12" s="224">
        <v>14</v>
      </c>
      <c r="O12" s="224">
        <f t="shared" si="0"/>
        <v>74.75</v>
      </c>
      <c r="P12" s="224"/>
    </row>
    <row r="13" spans="1:16" ht="20.100000000000001" customHeight="1">
      <c r="A13" s="223">
        <v>12</v>
      </c>
      <c r="B13" s="223" t="s">
        <v>203</v>
      </c>
      <c r="C13" s="223"/>
      <c r="D13" s="223" t="s">
        <v>168</v>
      </c>
      <c r="E13" s="223" t="s">
        <v>79</v>
      </c>
      <c r="F13" s="223"/>
      <c r="G13" s="223" t="s">
        <v>24</v>
      </c>
      <c r="H13" s="223" t="s">
        <v>69</v>
      </c>
      <c r="I13" s="223" t="s">
        <v>89</v>
      </c>
      <c r="J13" s="223" t="s">
        <v>85</v>
      </c>
      <c r="K13" s="224">
        <v>14</v>
      </c>
      <c r="L13" s="223">
        <v>21</v>
      </c>
      <c r="M13" s="224">
        <v>26</v>
      </c>
      <c r="N13" s="224">
        <v>13</v>
      </c>
      <c r="O13" s="224">
        <f t="shared" si="0"/>
        <v>74</v>
      </c>
      <c r="P13" s="224"/>
    </row>
    <row r="14" spans="1:16" ht="20.100000000000001" customHeight="1">
      <c r="A14" s="223">
        <v>13</v>
      </c>
      <c r="B14" s="223" t="s">
        <v>180</v>
      </c>
      <c r="C14" s="223"/>
      <c r="D14" s="223" t="s">
        <v>168</v>
      </c>
      <c r="E14" s="223" t="s">
        <v>76</v>
      </c>
      <c r="F14" s="223"/>
      <c r="G14" s="223" t="s">
        <v>24</v>
      </c>
      <c r="H14" s="223" t="s">
        <v>114</v>
      </c>
      <c r="I14" s="223"/>
      <c r="J14" s="223" t="s">
        <v>82</v>
      </c>
      <c r="K14" s="224">
        <v>13</v>
      </c>
      <c r="L14" s="223">
        <v>20.75</v>
      </c>
      <c r="M14" s="224">
        <v>25</v>
      </c>
      <c r="N14" s="224">
        <v>15</v>
      </c>
      <c r="O14" s="224">
        <f t="shared" si="0"/>
        <v>73.75</v>
      </c>
      <c r="P14" s="224"/>
    </row>
    <row r="15" spans="1:16" ht="20.100000000000001" customHeight="1">
      <c r="A15" s="223">
        <v>14</v>
      </c>
      <c r="B15" s="223" t="s">
        <v>253</v>
      </c>
      <c r="C15" s="223"/>
      <c r="D15" s="223" t="s">
        <v>168</v>
      </c>
      <c r="E15" s="223" t="s">
        <v>79</v>
      </c>
      <c r="F15" s="223"/>
      <c r="G15" s="223" t="s">
        <v>254</v>
      </c>
      <c r="H15" s="223" t="s">
        <v>59</v>
      </c>
      <c r="I15" s="223" t="s">
        <v>110</v>
      </c>
      <c r="J15" s="223" t="s">
        <v>255</v>
      </c>
      <c r="K15" s="224">
        <v>12.5</v>
      </c>
      <c r="L15" s="224">
        <v>20</v>
      </c>
      <c r="M15" s="224">
        <v>26</v>
      </c>
      <c r="N15" s="223">
        <v>15</v>
      </c>
      <c r="O15" s="224">
        <f t="shared" si="0"/>
        <v>73.5</v>
      </c>
      <c r="P15" s="224"/>
    </row>
    <row r="16" spans="1:16" ht="20.100000000000001" customHeight="1">
      <c r="A16" s="223">
        <v>15</v>
      </c>
      <c r="B16" s="223" t="s">
        <v>211</v>
      </c>
      <c r="C16" s="223"/>
      <c r="D16" s="223" t="s">
        <v>168</v>
      </c>
      <c r="E16" s="223" t="s">
        <v>103</v>
      </c>
      <c r="F16" s="223"/>
      <c r="G16" s="223" t="s">
        <v>24</v>
      </c>
      <c r="H16" s="223" t="s">
        <v>127</v>
      </c>
      <c r="I16" s="223" t="s">
        <v>81</v>
      </c>
      <c r="J16" s="223" t="s">
        <v>85</v>
      </c>
      <c r="K16" s="224">
        <v>13</v>
      </c>
      <c r="L16" s="223">
        <v>20.5</v>
      </c>
      <c r="M16" s="224">
        <v>25</v>
      </c>
      <c r="N16" s="224">
        <v>15</v>
      </c>
      <c r="O16" s="224">
        <f t="shared" si="0"/>
        <v>73.5</v>
      </c>
      <c r="P16" s="224"/>
    </row>
    <row r="17" spans="1:16" ht="20.100000000000001" customHeight="1">
      <c r="A17" s="223">
        <v>16</v>
      </c>
      <c r="B17" s="223" t="s">
        <v>268</v>
      </c>
      <c r="C17" s="223"/>
      <c r="D17" s="223" t="s">
        <v>168</v>
      </c>
      <c r="E17" s="223" t="s">
        <v>79</v>
      </c>
      <c r="F17" s="223"/>
      <c r="G17" s="223" t="s">
        <v>24</v>
      </c>
      <c r="H17" s="223" t="s">
        <v>27</v>
      </c>
      <c r="I17" s="223" t="s">
        <v>81</v>
      </c>
      <c r="J17" s="223" t="s">
        <v>93</v>
      </c>
      <c r="K17" s="224">
        <v>13</v>
      </c>
      <c r="L17" s="224">
        <v>20.75</v>
      </c>
      <c r="M17" s="224">
        <v>24</v>
      </c>
      <c r="N17" s="224">
        <v>15</v>
      </c>
      <c r="O17" s="224">
        <f t="shared" si="0"/>
        <v>72.75</v>
      </c>
      <c r="P17" s="224"/>
    </row>
    <row r="18" spans="1:16" ht="20.100000000000001" customHeight="1">
      <c r="A18" s="223">
        <v>17</v>
      </c>
      <c r="B18" s="223" t="s">
        <v>263</v>
      </c>
      <c r="C18" s="223"/>
      <c r="D18" s="223" t="s">
        <v>168</v>
      </c>
      <c r="E18" s="223" t="s">
        <v>79</v>
      </c>
      <c r="F18" s="223"/>
      <c r="G18" s="223" t="s">
        <v>24</v>
      </c>
      <c r="H18" s="223" t="s">
        <v>55</v>
      </c>
      <c r="I18" s="223" t="s">
        <v>101</v>
      </c>
      <c r="J18" s="223" t="s">
        <v>85</v>
      </c>
      <c r="K18" s="224">
        <v>13.5</v>
      </c>
      <c r="L18" s="224">
        <v>19</v>
      </c>
      <c r="M18" s="224">
        <v>25</v>
      </c>
      <c r="N18" s="224">
        <v>15</v>
      </c>
      <c r="O18" s="224">
        <f t="shared" si="0"/>
        <v>72.5</v>
      </c>
      <c r="P18" s="224"/>
    </row>
    <row r="19" spans="1:16" ht="20.100000000000001" customHeight="1">
      <c r="A19" s="223">
        <v>18</v>
      </c>
      <c r="B19" s="223" t="s">
        <v>288</v>
      </c>
      <c r="C19" s="223"/>
      <c r="D19" s="223" t="s">
        <v>168</v>
      </c>
      <c r="E19" s="223" t="s">
        <v>79</v>
      </c>
      <c r="F19" s="223"/>
      <c r="G19" s="223" t="s">
        <v>24</v>
      </c>
      <c r="H19" s="223" t="s">
        <v>40</v>
      </c>
      <c r="I19" s="223" t="s">
        <v>81</v>
      </c>
      <c r="J19" s="223" t="s">
        <v>85</v>
      </c>
      <c r="K19" s="223">
        <v>12</v>
      </c>
      <c r="L19" s="223">
        <v>21</v>
      </c>
      <c r="M19" s="223">
        <v>24</v>
      </c>
      <c r="N19" s="223">
        <v>15</v>
      </c>
      <c r="O19" s="224">
        <f t="shared" si="0"/>
        <v>72</v>
      </c>
      <c r="P19" s="223"/>
    </row>
    <row r="20" spans="1:16" ht="20.100000000000001" customHeight="1">
      <c r="A20" s="223">
        <v>19</v>
      </c>
      <c r="B20" s="223" t="s">
        <v>249</v>
      </c>
      <c r="C20" s="223"/>
      <c r="D20" s="223" t="s">
        <v>168</v>
      </c>
      <c r="E20" s="223" t="s">
        <v>79</v>
      </c>
      <c r="F20" s="223"/>
      <c r="G20" s="223" t="s">
        <v>134</v>
      </c>
      <c r="H20" s="223" t="s">
        <v>52</v>
      </c>
      <c r="I20" s="223" t="s">
        <v>81</v>
      </c>
      <c r="J20" s="223" t="s">
        <v>93</v>
      </c>
      <c r="K20" s="224">
        <v>13</v>
      </c>
      <c r="L20" s="224">
        <v>20.75</v>
      </c>
      <c r="M20" s="224">
        <v>24</v>
      </c>
      <c r="N20" s="224">
        <v>13</v>
      </c>
      <c r="O20" s="224">
        <f t="shared" si="0"/>
        <v>70.75</v>
      </c>
      <c r="P20" s="224"/>
    </row>
    <row r="21" spans="1:16" ht="20.100000000000001" customHeight="1">
      <c r="A21" s="223">
        <v>20</v>
      </c>
      <c r="B21" s="223" t="s">
        <v>250</v>
      </c>
      <c r="C21" s="223"/>
      <c r="D21" s="223" t="s">
        <v>168</v>
      </c>
      <c r="E21" s="223" t="s">
        <v>79</v>
      </c>
      <c r="F21" s="223"/>
      <c r="G21" s="223" t="s">
        <v>134</v>
      </c>
      <c r="H21" s="223" t="s">
        <v>52</v>
      </c>
      <c r="I21" s="223" t="s">
        <v>133</v>
      </c>
      <c r="J21" s="223" t="s">
        <v>93</v>
      </c>
      <c r="K21" s="224">
        <v>11</v>
      </c>
      <c r="L21" s="224">
        <v>18</v>
      </c>
      <c r="M21" s="224">
        <v>23</v>
      </c>
      <c r="N21" s="224">
        <v>15</v>
      </c>
      <c r="O21" s="224">
        <f t="shared" si="0"/>
        <v>67</v>
      </c>
      <c r="P21" s="224"/>
    </row>
    <row r="22" spans="1:16" ht="20.100000000000001" customHeight="1">
      <c r="A22" s="223">
        <v>21</v>
      </c>
      <c r="B22" s="223" t="s">
        <v>215</v>
      </c>
      <c r="C22" s="223"/>
      <c r="D22" s="223" t="s">
        <v>168</v>
      </c>
      <c r="E22" s="223" t="s">
        <v>79</v>
      </c>
      <c r="F22" s="223"/>
      <c r="G22" s="223" t="s">
        <v>24</v>
      </c>
      <c r="H22" s="223" t="s">
        <v>65</v>
      </c>
      <c r="I22" s="223" t="s">
        <v>81</v>
      </c>
      <c r="J22" s="223" t="s">
        <v>85</v>
      </c>
      <c r="K22" s="224">
        <v>13</v>
      </c>
      <c r="L22" s="223">
        <v>18</v>
      </c>
      <c r="M22" s="224">
        <v>20</v>
      </c>
      <c r="N22" s="224">
        <v>15</v>
      </c>
      <c r="O22" s="224">
        <f t="shared" si="0"/>
        <v>66</v>
      </c>
      <c r="P22" s="224"/>
    </row>
    <row r="23" spans="1:16" ht="20.100000000000001" customHeight="1">
      <c r="A23" s="223">
        <v>22</v>
      </c>
      <c r="B23" s="223" t="s">
        <v>300</v>
      </c>
      <c r="C23" s="223"/>
      <c r="D23" s="223" t="s">
        <v>168</v>
      </c>
      <c r="E23" s="223" t="s">
        <v>79</v>
      </c>
      <c r="F23" s="223"/>
      <c r="G23" s="223" t="s">
        <v>24</v>
      </c>
      <c r="H23" s="223" t="s">
        <v>299</v>
      </c>
      <c r="I23" s="223" t="s">
        <v>101</v>
      </c>
      <c r="J23" s="223" t="s">
        <v>82</v>
      </c>
      <c r="K23" s="223"/>
      <c r="L23" s="223"/>
      <c r="M23" s="223"/>
      <c r="N23" s="223"/>
      <c r="O23" s="224">
        <f t="shared" si="0"/>
        <v>0</v>
      </c>
      <c r="P23" s="223" t="s">
        <v>1276</v>
      </c>
    </row>
    <row r="24" spans="1:16" ht="20.100000000000001" customHeight="1">
      <c r="A24" s="56">
        <v>23</v>
      </c>
      <c r="B24" s="56" t="s">
        <v>295</v>
      </c>
      <c r="C24" s="56"/>
      <c r="D24" s="56" t="s">
        <v>168</v>
      </c>
      <c r="E24" s="56" t="s">
        <v>79</v>
      </c>
      <c r="F24" s="56"/>
      <c r="G24" s="56" t="s">
        <v>26</v>
      </c>
      <c r="H24" s="56" t="s">
        <v>75</v>
      </c>
      <c r="I24" s="56"/>
      <c r="J24" s="56" t="s">
        <v>85</v>
      </c>
      <c r="K24" s="56">
        <v>16.25</v>
      </c>
      <c r="L24" s="56">
        <v>24</v>
      </c>
      <c r="M24" s="56">
        <v>30</v>
      </c>
      <c r="N24" s="56">
        <v>15</v>
      </c>
      <c r="O24" s="225">
        <f t="shared" si="0"/>
        <v>85.25</v>
      </c>
      <c r="P24" s="56"/>
    </row>
    <row r="25" spans="1:16" ht="20.100000000000001" customHeight="1">
      <c r="A25" s="56">
        <v>24</v>
      </c>
      <c r="B25" s="56" t="s">
        <v>214</v>
      </c>
      <c r="C25" s="56"/>
      <c r="D25" s="56" t="s">
        <v>168</v>
      </c>
      <c r="E25" s="56" t="s">
        <v>79</v>
      </c>
      <c r="F25" s="56"/>
      <c r="G25" s="56" t="s">
        <v>26</v>
      </c>
      <c r="H25" s="56" t="s">
        <v>65</v>
      </c>
      <c r="I25" s="56" t="s">
        <v>83</v>
      </c>
      <c r="J25" s="56" t="s">
        <v>85</v>
      </c>
      <c r="K25" s="225">
        <v>16.5</v>
      </c>
      <c r="L25" s="56">
        <v>22.25</v>
      </c>
      <c r="M25" s="225">
        <v>31</v>
      </c>
      <c r="N25" s="225">
        <v>15</v>
      </c>
      <c r="O25" s="225">
        <f t="shared" si="0"/>
        <v>84.75</v>
      </c>
      <c r="P25" s="225"/>
    </row>
    <row r="26" spans="1:16" ht="20.100000000000001" customHeight="1">
      <c r="A26" s="56">
        <v>25</v>
      </c>
      <c r="B26" s="56" t="s">
        <v>224</v>
      </c>
      <c r="C26" s="56"/>
      <c r="D26" s="56" t="s">
        <v>168</v>
      </c>
      <c r="E26" s="56" t="s">
        <v>79</v>
      </c>
      <c r="F26" s="56"/>
      <c r="G26" s="56" t="s">
        <v>26</v>
      </c>
      <c r="H26" s="56" t="s">
        <v>30</v>
      </c>
      <c r="I26" s="56" t="s">
        <v>101</v>
      </c>
      <c r="J26" s="56" t="s">
        <v>82</v>
      </c>
      <c r="K26" s="225">
        <v>16</v>
      </c>
      <c r="L26" s="225">
        <v>22.5</v>
      </c>
      <c r="M26" s="225">
        <v>29</v>
      </c>
      <c r="N26" s="225">
        <v>15</v>
      </c>
      <c r="O26" s="225">
        <f t="shared" si="0"/>
        <v>82.5</v>
      </c>
      <c r="P26" s="225"/>
    </row>
    <row r="27" spans="1:16" ht="20.100000000000001" customHeight="1">
      <c r="A27" s="56">
        <v>26</v>
      </c>
      <c r="B27" s="56" t="s">
        <v>273</v>
      </c>
      <c r="C27" s="56"/>
      <c r="D27" s="56" t="s">
        <v>168</v>
      </c>
      <c r="E27" s="56" t="s">
        <v>79</v>
      </c>
      <c r="F27" s="56"/>
      <c r="G27" s="56" t="s">
        <v>26</v>
      </c>
      <c r="H27" s="56" t="s">
        <v>100</v>
      </c>
      <c r="I27" s="56" t="s">
        <v>101</v>
      </c>
      <c r="J27" s="56" t="s">
        <v>82</v>
      </c>
      <c r="K27" s="225">
        <v>15</v>
      </c>
      <c r="L27" s="225">
        <v>22</v>
      </c>
      <c r="M27" s="225">
        <v>30</v>
      </c>
      <c r="N27" s="225">
        <v>15</v>
      </c>
      <c r="O27" s="225">
        <f t="shared" si="0"/>
        <v>82</v>
      </c>
      <c r="P27" s="225"/>
    </row>
    <row r="28" spans="1:16" ht="20.100000000000001" customHeight="1">
      <c r="A28" s="56">
        <v>27</v>
      </c>
      <c r="B28" s="56" t="s">
        <v>279</v>
      </c>
      <c r="C28" s="56"/>
      <c r="D28" s="56" t="s">
        <v>168</v>
      </c>
      <c r="E28" s="56" t="s">
        <v>79</v>
      </c>
      <c r="F28" s="56"/>
      <c r="G28" s="56" t="s">
        <v>26</v>
      </c>
      <c r="H28" s="56" t="s">
        <v>280</v>
      </c>
      <c r="I28" s="56" t="s">
        <v>83</v>
      </c>
      <c r="J28" s="56" t="s">
        <v>82</v>
      </c>
      <c r="K28" s="225">
        <v>14</v>
      </c>
      <c r="L28" s="225">
        <v>22.5</v>
      </c>
      <c r="M28" s="225">
        <v>30</v>
      </c>
      <c r="N28" s="225">
        <v>15</v>
      </c>
      <c r="O28" s="225">
        <f t="shared" si="0"/>
        <v>81.5</v>
      </c>
      <c r="P28" s="225"/>
    </row>
    <row r="29" spans="1:16" ht="20.100000000000001" customHeight="1">
      <c r="A29" s="56">
        <v>28</v>
      </c>
      <c r="B29" s="56" t="s">
        <v>185</v>
      </c>
      <c r="C29" s="56"/>
      <c r="D29" s="56" t="s">
        <v>168</v>
      </c>
      <c r="E29" s="56" t="s">
        <v>79</v>
      </c>
      <c r="F29" s="56"/>
      <c r="G29" s="56" t="s">
        <v>26</v>
      </c>
      <c r="H29" s="56" t="s">
        <v>87</v>
      </c>
      <c r="I29" s="56" t="s">
        <v>81</v>
      </c>
      <c r="J29" s="56" t="s">
        <v>82</v>
      </c>
      <c r="K29" s="225">
        <v>13.75</v>
      </c>
      <c r="L29" s="56">
        <v>22</v>
      </c>
      <c r="M29" s="225">
        <v>30</v>
      </c>
      <c r="N29" s="225">
        <v>15</v>
      </c>
      <c r="O29" s="225">
        <f t="shared" si="0"/>
        <v>80.75</v>
      </c>
      <c r="P29" s="225"/>
    </row>
    <row r="30" spans="1:16" ht="20.100000000000001" customHeight="1">
      <c r="A30" s="56">
        <v>29</v>
      </c>
      <c r="B30" s="56" t="s">
        <v>256</v>
      </c>
      <c r="C30" s="56"/>
      <c r="D30" s="56" t="s">
        <v>168</v>
      </c>
      <c r="E30" s="56" t="s">
        <v>79</v>
      </c>
      <c r="F30" s="56"/>
      <c r="G30" s="56" t="s">
        <v>257</v>
      </c>
      <c r="H30" s="56" t="s">
        <v>59</v>
      </c>
      <c r="I30" s="56" t="s">
        <v>88</v>
      </c>
      <c r="J30" s="56" t="s">
        <v>255</v>
      </c>
      <c r="K30" s="225">
        <v>14.5</v>
      </c>
      <c r="L30" s="225">
        <v>23</v>
      </c>
      <c r="M30" s="225">
        <v>28</v>
      </c>
      <c r="N30" s="56">
        <v>15</v>
      </c>
      <c r="O30" s="225">
        <f t="shared" si="0"/>
        <v>80.5</v>
      </c>
      <c r="P30" s="225"/>
    </row>
    <row r="31" spans="1:16" ht="20.100000000000001" customHeight="1">
      <c r="A31" s="56">
        <v>30</v>
      </c>
      <c r="B31" s="56" t="s">
        <v>274</v>
      </c>
      <c r="C31" s="56"/>
      <c r="D31" s="56" t="s">
        <v>168</v>
      </c>
      <c r="E31" s="56" t="s">
        <v>79</v>
      </c>
      <c r="F31" s="56"/>
      <c r="G31" s="56" t="s">
        <v>26</v>
      </c>
      <c r="H31" s="56" t="s">
        <v>100</v>
      </c>
      <c r="I31" s="56" t="s">
        <v>101</v>
      </c>
      <c r="J31" s="56" t="s">
        <v>82</v>
      </c>
      <c r="K31" s="225">
        <v>14.5</v>
      </c>
      <c r="L31" s="225">
        <v>21.75</v>
      </c>
      <c r="M31" s="225">
        <v>29</v>
      </c>
      <c r="N31" s="225">
        <v>15</v>
      </c>
      <c r="O31" s="225">
        <f t="shared" si="0"/>
        <v>80.25</v>
      </c>
      <c r="P31" s="225"/>
    </row>
    <row r="32" spans="1:16" ht="20.100000000000001" customHeight="1">
      <c r="A32" s="56">
        <v>31</v>
      </c>
      <c r="B32" s="56" t="s">
        <v>286</v>
      </c>
      <c r="C32" s="56"/>
      <c r="D32" s="56" t="s">
        <v>168</v>
      </c>
      <c r="E32" s="56" t="s">
        <v>79</v>
      </c>
      <c r="F32" s="56"/>
      <c r="G32" s="56" t="s">
        <v>26</v>
      </c>
      <c r="H32" s="56" t="s">
        <v>58</v>
      </c>
      <c r="I32" s="56" t="s">
        <v>83</v>
      </c>
      <c r="J32" s="56" t="s">
        <v>82</v>
      </c>
      <c r="K32" s="56">
        <v>16</v>
      </c>
      <c r="L32" s="56">
        <v>23.25</v>
      </c>
      <c r="M32" s="56">
        <v>26</v>
      </c>
      <c r="N32" s="56">
        <v>15</v>
      </c>
      <c r="O32" s="225">
        <f t="shared" si="0"/>
        <v>80.25</v>
      </c>
      <c r="P32" s="56"/>
    </row>
    <row r="33" spans="1:16" ht="20.100000000000001" customHeight="1">
      <c r="A33" s="56">
        <v>32</v>
      </c>
      <c r="B33" s="56" t="s">
        <v>233</v>
      </c>
      <c r="C33" s="56"/>
      <c r="D33" s="56" t="s">
        <v>168</v>
      </c>
      <c r="E33" s="56" t="s">
        <v>79</v>
      </c>
      <c r="F33" s="56"/>
      <c r="G33" s="56" t="s">
        <v>26</v>
      </c>
      <c r="H33" s="56" t="s">
        <v>53</v>
      </c>
      <c r="I33" s="56" t="s">
        <v>81</v>
      </c>
      <c r="J33" s="56" t="s">
        <v>85</v>
      </c>
      <c r="K33" s="225">
        <v>13.75</v>
      </c>
      <c r="L33" s="225">
        <v>21.25</v>
      </c>
      <c r="M33" s="225">
        <v>30</v>
      </c>
      <c r="N33" s="225">
        <v>15</v>
      </c>
      <c r="O33" s="225">
        <f t="shared" si="0"/>
        <v>80</v>
      </c>
      <c r="P33" s="225"/>
    </row>
    <row r="34" spans="1:16" ht="20.100000000000001" customHeight="1">
      <c r="A34" s="56">
        <v>33</v>
      </c>
      <c r="B34" s="56" t="s">
        <v>266</v>
      </c>
      <c r="C34" s="56"/>
      <c r="D34" s="56" t="s">
        <v>168</v>
      </c>
      <c r="E34" s="56" t="s">
        <v>79</v>
      </c>
      <c r="F34" s="56"/>
      <c r="G34" s="56" t="s">
        <v>26</v>
      </c>
      <c r="H34" s="56" t="s">
        <v>55</v>
      </c>
      <c r="I34" s="56" t="s">
        <v>83</v>
      </c>
      <c r="J34" s="56" t="s">
        <v>85</v>
      </c>
      <c r="K34" s="225">
        <v>14</v>
      </c>
      <c r="L34" s="225">
        <v>21</v>
      </c>
      <c r="M34" s="225">
        <v>30</v>
      </c>
      <c r="N34" s="225">
        <v>15</v>
      </c>
      <c r="O34" s="225">
        <f t="shared" ref="O34:O65" si="1">SUM(K34:N34)</f>
        <v>80</v>
      </c>
      <c r="P34" s="225"/>
    </row>
    <row r="35" spans="1:16" ht="20.100000000000001" customHeight="1">
      <c r="A35" s="56">
        <v>34</v>
      </c>
      <c r="B35" s="56" t="s">
        <v>181</v>
      </c>
      <c r="C35" s="56"/>
      <c r="D35" s="56" t="s">
        <v>168</v>
      </c>
      <c r="E35" s="56" t="s">
        <v>79</v>
      </c>
      <c r="F35" s="56"/>
      <c r="G35" s="56" t="s">
        <v>26</v>
      </c>
      <c r="H35" s="56" t="s">
        <v>182</v>
      </c>
      <c r="I35" s="56" t="s">
        <v>81</v>
      </c>
      <c r="J35" s="56" t="s">
        <v>82</v>
      </c>
      <c r="K35" s="225">
        <v>14.75</v>
      </c>
      <c r="L35" s="56">
        <v>21</v>
      </c>
      <c r="M35" s="225">
        <v>29</v>
      </c>
      <c r="N35" s="225">
        <v>15</v>
      </c>
      <c r="O35" s="225">
        <f t="shared" si="1"/>
        <v>79.75</v>
      </c>
      <c r="P35" s="225"/>
    </row>
    <row r="36" spans="1:16" ht="20.100000000000001" customHeight="1">
      <c r="A36" s="56">
        <v>35</v>
      </c>
      <c r="B36" s="56" t="s">
        <v>244</v>
      </c>
      <c r="C36" s="56"/>
      <c r="D36" s="56" t="s">
        <v>168</v>
      </c>
      <c r="E36" s="56" t="s">
        <v>79</v>
      </c>
      <c r="F36" s="56"/>
      <c r="G36" s="56" t="s">
        <v>92</v>
      </c>
      <c r="H36" s="56" t="s">
        <v>52</v>
      </c>
      <c r="I36" s="56" t="s">
        <v>97</v>
      </c>
      <c r="J36" s="56" t="s">
        <v>93</v>
      </c>
      <c r="K36" s="225">
        <v>15.75</v>
      </c>
      <c r="L36" s="225">
        <v>19</v>
      </c>
      <c r="M36" s="225">
        <v>30</v>
      </c>
      <c r="N36" s="225">
        <v>15</v>
      </c>
      <c r="O36" s="225">
        <f t="shared" si="1"/>
        <v>79.75</v>
      </c>
      <c r="P36" s="225"/>
    </row>
    <row r="37" spans="1:16" ht="20.100000000000001" customHeight="1">
      <c r="A37" s="56">
        <v>36</v>
      </c>
      <c r="B37" s="56" t="s">
        <v>174</v>
      </c>
      <c r="C37" s="56"/>
      <c r="D37" s="56" t="s">
        <v>168</v>
      </c>
      <c r="E37" s="56" t="s">
        <v>79</v>
      </c>
      <c r="F37" s="56"/>
      <c r="G37" s="56" t="s">
        <v>26</v>
      </c>
      <c r="H37" s="56" t="s">
        <v>80</v>
      </c>
      <c r="I37" s="56" t="s">
        <v>81</v>
      </c>
      <c r="J37" s="56" t="s">
        <v>82</v>
      </c>
      <c r="K37" s="225">
        <v>14.25</v>
      </c>
      <c r="L37" s="56">
        <v>21</v>
      </c>
      <c r="M37" s="225">
        <v>29</v>
      </c>
      <c r="N37" s="225">
        <v>15</v>
      </c>
      <c r="O37" s="225">
        <f t="shared" si="1"/>
        <v>79.25</v>
      </c>
      <c r="P37" s="225"/>
    </row>
    <row r="38" spans="1:16" ht="20.100000000000001" customHeight="1">
      <c r="A38" s="56">
        <v>37</v>
      </c>
      <c r="B38" s="56" t="s">
        <v>251</v>
      </c>
      <c r="C38" s="56"/>
      <c r="D38" s="56" t="s">
        <v>168</v>
      </c>
      <c r="E38" s="56" t="s">
        <v>79</v>
      </c>
      <c r="F38" s="56"/>
      <c r="G38" s="56" t="s">
        <v>26</v>
      </c>
      <c r="H38" s="56" t="s">
        <v>60</v>
      </c>
      <c r="I38" s="56" t="s">
        <v>108</v>
      </c>
      <c r="J38" s="56" t="s">
        <v>85</v>
      </c>
      <c r="K38" s="225">
        <v>15.25</v>
      </c>
      <c r="L38" s="225">
        <v>22</v>
      </c>
      <c r="M38" s="225">
        <v>27</v>
      </c>
      <c r="N38" s="225">
        <v>15</v>
      </c>
      <c r="O38" s="225">
        <f t="shared" si="1"/>
        <v>79.25</v>
      </c>
      <c r="P38" s="225"/>
    </row>
    <row r="39" spans="1:16" ht="20.100000000000001" customHeight="1">
      <c r="A39" s="56">
        <v>38</v>
      </c>
      <c r="B39" s="56" t="s">
        <v>200</v>
      </c>
      <c r="C39" s="56"/>
      <c r="D39" s="56" t="s">
        <v>168</v>
      </c>
      <c r="E39" s="56" t="s">
        <v>79</v>
      </c>
      <c r="F39" s="56"/>
      <c r="G39" s="56" t="s">
        <v>26</v>
      </c>
      <c r="H39" s="56" t="s">
        <v>72</v>
      </c>
      <c r="I39" s="56"/>
      <c r="J39" s="56" t="s">
        <v>82</v>
      </c>
      <c r="K39" s="225">
        <v>14.5</v>
      </c>
      <c r="L39" s="56">
        <v>21.5</v>
      </c>
      <c r="M39" s="225">
        <v>28</v>
      </c>
      <c r="N39" s="56">
        <v>15</v>
      </c>
      <c r="O39" s="225">
        <f t="shared" si="1"/>
        <v>79</v>
      </c>
      <c r="P39" s="225"/>
    </row>
    <row r="40" spans="1:16" ht="20.100000000000001" customHeight="1">
      <c r="A40" s="56">
        <v>39</v>
      </c>
      <c r="B40" s="56" t="s">
        <v>289</v>
      </c>
      <c r="C40" s="56"/>
      <c r="D40" s="56" t="s">
        <v>168</v>
      </c>
      <c r="E40" s="56" t="s">
        <v>103</v>
      </c>
      <c r="F40" s="56"/>
      <c r="G40" s="56" t="s">
        <v>67</v>
      </c>
      <c r="H40" s="56" t="s">
        <v>105</v>
      </c>
      <c r="I40" s="56" t="s">
        <v>88</v>
      </c>
      <c r="J40" s="56" t="s">
        <v>85</v>
      </c>
      <c r="K40" s="56">
        <v>14.5</v>
      </c>
      <c r="L40" s="56">
        <v>21.25</v>
      </c>
      <c r="M40" s="56">
        <v>28</v>
      </c>
      <c r="N40" s="56">
        <v>15</v>
      </c>
      <c r="O40" s="225">
        <f t="shared" si="1"/>
        <v>78.75</v>
      </c>
      <c r="P40" s="56"/>
    </row>
    <row r="41" spans="1:16" ht="20.100000000000001" customHeight="1">
      <c r="A41" s="56">
        <v>40</v>
      </c>
      <c r="B41" s="56" t="s">
        <v>225</v>
      </c>
      <c r="C41" s="56"/>
      <c r="D41" s="56" t="s">
        <v>168</v>
      </c>
      <c r="E41" s="56" t="s">
        <v>79</v>
      </c>
      <c r="F41" s="56"/>
      <c r="G41" s="56" t="s">
        <v>26</v>
      </c>
      <c r="H41" s="56" t="s">
        <v>30</v>
      </c>
      <c r="I41" s="56" t="s">
        <v>101</v>
      </c>
      <c r="J41" s="56" t="s">
        <v>82</v>
      </c>
      <c r="K41" s="225">
        <v>14.5</v>
      </c>
      <c r="L41" s="225">
        <v>22</v>
      </c>
      <c r="M41" s="225">
        <v>27</v>
      </c>
      <c r="N41" s="225">
        <v>15</v>
      </c>
      <c r="O41" s="225">
        <f t="shared" si="1"/>
        <v>78.5</v>
      </c>
      <c r="P41" s="225"/>
    </row>
    <row r="42" spans="1:16" ht="20.100000000000001" customHeight="1">
      <c r="A42" s="56">
        <v>41</v>
      </c>
      <c r="B42" s="56" t="s">
        <v>195</v>
      </c>
      <c r="C42" s="56"/>
      <c r="D42" s="56" t="s">
        <v>168</v>
      </c>
      <c r="E42" s="56" t="s">
        <v>79</v>
      </c>
      <c r="F42" s="56"/>
      <c r="G42" s="56" t="s">
        <v>26</v>
      </c>
      <c r="H42" s="56" t="s">
        <v>196</v>
      </c>
      <c r="I42" s="56" t="s">
        <v>83</v>
      </c>
      <c r="J42" s="56" t="s">
        <v>82</v>
      </c>
      <c r="K42" s="225">
        <v>14.25</v>
      </c>
      <c r="L42" s="56">
        <v>21</v>
      </c>
      <c r="M42" s="225">
        <v>28</v>
      </c>
      <c r="N42" s="56">
        <v>15</v>
      </c>
      <c r="O42" s="225">
        <f t="shared" si="1"/>
        <v>78.25</v>
      </c>
      <c r="P42" s="225"/>
    </row>
    <row r="43" spans="1:16" ht="20.100000000000001" customHeight="1">
      <c r="A43" s="56">
        <v>42</v>
      </c>
      <c r="B43" s="56" t="s">
        <v>201</v>
      </c>
      <c r="C43" s="56"/>
      <c r="D43" s="56" t="s">
        <v>168</v>
      </c>
      <c r="E43" s="56" t="s">
        <v>79</v>
      </c>
      <c r="F43" s="56"/>
      <c r="G43" s="56" t="s">
        <v>26</v>
      </c>
      <c r="H43" s="56" t="s">
        <v>69</v>
      </c>
      <c r="I43" s="56" t="s">
        <v>89</v>
      </c>
      <c r="J43" s="56" t="s">
        <v>85</v>
      </c>
      <c r="K43" s="225">
        <v>14</v>
      </c>
      <c r="L43" s="56">
        <v>21.25</v>
      </c>
      <c r="M43" s="225">
        <v>28</v>
      </c>
      <c r="N43" s="225">
        <v>15</v>
      </c>
      <c r="O43" s="225">
        <f t="shared" si="1"/>
        <v>78.25</v>
      </c>
      <c r="P43" s="225"/>
    </row>
    <row r="44" spans="1:16" ht="20.100000000000001" customHeight="1">
      <c r="A44" s="56">
        <v>43</v>
      </c>
      <c r="B44" s="56" t="s">
        <v>204</v>
      </c>
      <c r="C44" s="56"/>
      <c r="D44" s="56" t="s">
        <v>168</v>
      </c>
      <c r="E44" s="56" t="s">
        <v>79</v>
      </c>
      <c r="F44" s="56"/>
      <c r="G44" s="56" t="s">
        <v>67</v>
      </c>
      <c r="H44" s="56" t="s">
        <v>142</v>
      </c>
      <c r="I44" s="56" t="s">
        <v>110</v>
      </c>
      <c r="J44" s="56" t="s">
        <v>93</v>
      </c>
      <c r="K44" s="225">
        <v>14.25</v>
      </c>
      <c r="L44" s="56">
        <v>22</v>
      </c>
      <c r="M44" s="225">
        <v>27</v>
      </c>
      <c r="N44" s="225">
        <v>15</v>
      </c>
      <c r="O44" s="225">
        <f t="shared" si="1"/>
        <v>78.25</v>
      </c>
      <c r="P44" s="225"/>
    </row>
    <row r="45" spans="1:16" ht="20.100000000000001" customHeight="1">
      <c r="A45" s="56">
        <v>44</v>
      </c>
      <c r="B45" s="56" t="s">
        <v>232</v>
      </c>
      <c r="C45" s="56"/>
      <c r="D45" s="56" t="s">
        <v>168</v>
      </c>
      <c r="E45" s="56" t="s">
        <v>79</v>
      </c>
      <c r="F45" s="56"/>
      <c r="G45" s="56" t="s">
        <v>26</v>
      </c>
      <c r="H45" s="56" t="s">
        <v>53</v>
      </c>
      <c r="I45" s="56" t="s">
        <v>83</v>
      </c>
      <c r="J45" s="56" t="s">
        <v>85</v>
      </c>
      <c r="K45" s="225">
        <v>14.5</v>
      </c>
      <c r="L45" s="225">
        <v>22.5</v>
      </c>
      <c r="M45" s="225">
        <v>28</v>
      </c>
      <c r="N45" s="225">
        <v>13</v>
      </c>
      <c r="O45" s="225">
        <f t="shared" si="1"/>
        <v>78</v>
      </c>
      <c r="P45" s="225"/>
    </row>
    <row r="46" spans="1:16" ht="20.100000000000001" customHeight="1">
      <c r="A46" s="56">
        <v>45</v>
      </c>
      <c r="B46" s="56" t="s">
        <v>235</v>
      </c>
      <c r="C46" s="56"/>
      <c r="D46" s="56" t="s">
        <v>168</v>
      </c>
      <c r="E46" s="56" t="s">
        <v>79</v>
      </c>
      <c r="F46" s="56"/>
      <c r="G46" s="56" t="s">
        <v>26</v>
      </c>
      <c r="H46" s="56" t="s">
        <v>130</v>
      </c>
      <c r="I46" s="56" t="s">
        <v>86</v>
      </c>
      <c r="J46" s="56" t="s">
        <v>93</v>
      </c>
      <c r="K46" s="225">
        <v>14.25</v>
      </c>
      <c r="L46" s="225">
        <v>20.75</v>
      </c>
      <c r="M46" s="225">
        <v>28</v>
      </c>
      <c r="N46" s="225">
        <v>15</v>
      </c>
      <c r="O46" s="225">
        <f t="shared" si="1"/>
        <v>78</v>
      </c>
      <c r="P46" s="225"/>
    </row>
    <row r="47" spans="1:16" ht="20.100000000000001" customHeight="1">
      <c r="A47" s="56">
        <v>46</v>
      </c>
      <c r="B47" s="56" t="s">
        <v>262</v>
      </c>
      <c r="C47" s="56"/>
      <c r="D47" s="56" t="s">
        <v>168</v>
      </c>
      <c r="E47" s="56" t="s">
        <v>79</v>
      </c>
      <c r="F47" s="56"/>
      <c r="G47" s="56" t="s">
        <v>26</v>
      </c>
      <c r="H47" s="56" t="s">
        <v>99</v>
      </c>
      <c r="I47" s="56" t="s">
        <v>83</v>
      </c>
      <c r="J47" s="56" t="s">
        <v>82</v>
      </c>
      <c r="K47" s="225">
        <v>14.5</v>
      </c>
      <c r="L47" s="225">
        <v>21.5</v>
      </c>
      <c r="M47" s="225">
        <v>27</v>
      </c>
      <c r="N47" s="225">
        <v>15</v>
      </c>
      <c r="O47" s="225">
        <f t="shared" si="1"/>
        <v>78</v>
      </c>
      <c r="P47" s="225"/>
    </row>
    <row r="48" spans="1:16" ht="20.100000000000001" customHeight="1">
      <c r="A48" s="56">
        <v>47</v>
      </c>
      <c r="B48" s="56" t="s">
        <v>169</v>
      </c>
      <c r="C48" s="56"/>
      <c r="D48" s="56" t="s">
        <v>168</v>
      </c>
      <c r="E48" s="56" t="s">
        <v>79</v>
      </c>
      <c r="F48" s="56"/>
      <c r="G48" s="56" t="s">
        <v>26</v>
      </c>
      <c r="H48" s="56" t="s">
        <v>73</v>
      </c>
      <c r="I48" s="56" t="s">
        <v>101</v>
      </c>
      <c r="J48" s="56" t="s">
        <v>85</v>
      </c>
      <c r="K48" s="225">
        <v>14</v>
      </c>
      <c r="L48" s="56">
        <v>21.75</v>
      </c>
      <c r="M48" s="225">
        <v>27</v>
      </c>
      <c r="N48" s="225">
        <v>15</v>
      </c>
      <c r="O48" s="225">
        <f t="shared" si="1"/>
        <v>77.75</v>
      </c>
      <c r="P48" s="225" t="s">
        <v>912</v>
      </c>
    </row>
    <row r="49" spans="1:16" ht="20.100000000000001" customHeight="1">
      <c r="A49" s="56">
        <v>48</v>
      </c>
      <c r="B49" s="56" t="s">
        <v>239</v>
      </c>
      <c r="C49" s="56"/>
      <c r="D49" s="56" t="s">
        <v>168</v>
      </c>
      <c r="E49" s="56" t="s">
        <v>79</v>
      </c>
      <c r="F49" s="56"/>
      <c r="G49" s="56" t="s">
        <v>26</v>
      </c>
      <c r="H49" s="56" t="s">
        <v>132</v>
      </c>
      <c r="I49" s="56" t="s">
        <v>240</v>
      </c>
      <c r="J49" s="56" t="s">
        <v>85</v>
      </c>
      <c r="K49" s="225">
        <v>13.75</v>
      </c>
      <c r="L49" s="225">
        <v>22</v>
      </c>
      <c r="M49" s="225">
        <v>27</v>
      </c>
      <c r="N49" s="225">
        <v>15</v>
      </c>
      <c r="O49" s="225">
        <f t="shared" si="1"/>
        <v>77.75</v>
      </c>
      <c r="P49" s="225"/>
    </row>
    <row r="50" spans="1:16" ht="20.100000000000001" customHeight="1">
      <c r="A50" s="56">
        <v>49</v>
      </c>
      <c r="B50" s="56" t="s">
        <v>228</v>
      </c>
      <c r="C50" s="56"/>
      <c r="D50" s="56" t="s">
        <v>168</v>
      </c>
      <c r="E50" s="56" t="s">
        <v>79</v>
      </c>
      <c r="F50" s="56"/>
      <c r="G50" s="56" t="s">
        <v>26</v>
      </c>
      <c r="H50" s="56" t="s">
        <v>64</v>
      </c>
      <c r="I50" s="56" t="s">
        <v>101</v>
      </c>
      <c r="J50" s="56" t="s">
        <v>85</v>
      </c>
      <c r="K50" s="225">
        <v>13.75</v>
      </c>
      <c r="L50" s="225">
        <v>21.25</v>
      </c>
      <c r="M50" s="225">
        <v>27</v>
      </c>
      <c r="N50" s="225">
        <v>14</v>
      </c>
      <c r="O50" s="225">
        <f t="shared" si="1"/>
        <v>76</v>
      </c>
      <c r="P50" s="225"/>
    </row>
    <row r="51" spans="1:16" ht="20.100000000000001" customHeight="1">
      <c r="A51" s="56">
        <v>50</v>
      </c>
      <c r="B51" s="56" t="s">
        <v>242</v>
      </c>
      <c r="C51" s="56"/>
      <c r="D51" s="56" t="s">
        <v>168</v>
      </c>
      <c r="E51" s="56" t="s">
        <v>79</v>
      </c>
      <c r="F51" s="56"/>
      <c r="G51" s="56" t="s">
        <v>26</v>
      </c>
      <c r="H51" s="56" t="s">
        <v>61</v>
      </c>
      <c r="I51" s="56" t="s">
        <v>101</v>
      </c>
      <c r="J51" s="56" t="s">
        <v>85</v>
      </c>
      <c r="K51" s="225">
        <v>14.25</v>
      </c>
      <c r="L51" s="225">
        <v>20.5</v>
      </c>
      <c r="M51" s="225">
        <v>27</v>
      </c>
      <c r="N51" s="225">
        <v>14</v>
      </c>
      <c r="O51" s="225">
        <f t="shared" si="1"/>
        <v>75.75</v>
      </c>
      <c r="P51" s="225"/>
    </row>
    <row r="52" spans="1:16" ht="20.100000000000001" customHeight="1">
      <c r="A52" s="56">
        <v>51</v>
      </c>
      <c r="B52" s="56" t="s">
        <v>175</v>
      </c>
      <c r="C52" s="56"/>
      <c r="D52" s="56" t="s">
        <v>168</v>
      </c>
      <c r="E52" s="56" t="s">
        <v>79</v>
      </c>
      <c r="F52" s="56"/>
      <c r="G52" s="56" t="s">
        <v>26</v>
      </c>
      <c r="H52" s="56" t="s">
        <v>80</v>
      </c>
      <c r="I52" s="56" t="s">
        <v>81</v>
      </c>
      <c r="J52" s="56" t="s">
        <v>82</v>
      </c>
      <c r="K52" s="225">
        <v>14</v>
      </c>
      <c r="L52" s="56">
        <v>20.5</v>
      </c>
      <c r="M52" s="225">
        <v>26</v>
      </c>
      <c r="N52" s="225">
        <v>15</v>
      </c>
      <c r="O52" s="225">
        <f t="shared" si="1"/>
        <v>75.5</v>
      </c>
      <c r="P52" s="225"/>
    </row>
    <row r="53" spans="1:16" ht="20.100000000000001" customHeight="1">
      <c r="A53" s="56">
        <v>52</v>
      </c>
      <c r="B53" s="56" t="s">
        <v>194</v>
      </c>
      <c r="C53" s="56"/>
      <c r="D53" s="56" t="s">
        <v>168</v>
      </c>
      <c r="E53" s="56" t="s">
        <v>79</v>
      </c>
      <c r="F53" s="56"/>
      <c r="G53" s="56" t="s">
        <v>26</v>
      </c>
      <c r="H53" s="56" t="s">
        <v>56</v>
      </c>
      <c r="I53" s="56" t="s">
        <v>88</v>
      </c>
      <c r="J53" s="56" t="s">
        <v>82</v>
      </c>
      <c r="K53" s="225">
        <v>12.75</v>
      </c>
      <c r="L53" s="56">
        <v>20.75</v>
      </c>
      <c r="M53" s="225">
        <v>27</v>
      </c>
      <c r="N53" s="225">
        <v>15</v>
      </c>
      <c r="O53" s="225">
        <f t="shared" si="1"/>
        <v>75.5</v>
      </c>
      <c r="P53" s="225"/>
    </row>
    <row r="54" spans="1:16" ht="20.100000000000001" customHeight="1">
      <c r="A54" s="56">
        <v>53</v>
      </c>
      <c r="B54" s="56" t="s">
        <v>241</v>
      </c>
      <c r="C54" s="56"/>
      <c r="D54" s="56" t="s">
        <v>168</v>
      </c>
      <c r="E54" s="56" t="s">
        <v>79</v>
      </c>
      <c r="F54" s="56"/>
      <c r="G54" s="56" t="s">
        <v>26</v>
      </c>
      <c r="H54" s="56" t="s">
        <v>61</v>
      </c>
      <c r="I54" s="56" t="s">
        <v>101</v>
      </c>
      <c r="J54" s="56" t="s">
        <v>85</v>
      </c>
      <c r="K54" s="225">
        <v>13.5</v>
      </c>
      <c r="L54" s="225">
        <v>20.75</v>
      </c>
      <c r="M54" s="225">
        <v>27</v>
      </c>
      <c r="N54" s="225">
        <v>14</v>
      </c>
      <c r="O54" s="225">
        <f t="shared" si="1"/>
        <v>75.25</v>
      </c>
      <c r="P54" s="225"/>
    </row>
    <row r="55" spans="1:16" ht="20.100000000000001" customHeight="1">
      <c r="A55" s="56">
        <v>54</v>
      </c>
      <c r="B55" s="56" t="s">
        <v>186</v>
      </c>
      <c r="C55" s="56"/>
      <c r="D55" s="56" t="s">
        <v>168</v>
      </c>
      <c r="E55" s="56" t="s">
        <v>79</v>
      </c>
      <c r="F55" s="56"/>
      <c r="G55" s="56" t="s">
        <v>26</v>
      </c>
      <c r="H55" s="56" t="s">
        <v>87</v>
      </c>
      <c r="I55" s="56" t="s">
        <v>81</v>
      </c>
      <c r="J55" s="56" t="s">
        <v>82</v>
      </c>
      <c r="K55" s="225">
        <v>13.75</v>
      </c>
      <c r="L55" s="56">
        <v>20.75</v>
      </c>
      <c r="M55" s="225">
        <v>25</v>
      </c>
      <c r="N55" s="225">
        <v>15</v>
      </c>
      <c r="O55" s="225">
        <f t="shared" si="1"/>
        <v>74.5</v>
      </c>
      <c r="P55" s="225"/>
    </row>
    <row r="56" spans="1:16" ht="20.100000000000001" customHeight="1">
      <c r="A56" s="56">
        <v>55</v>
      </c>
      <c r="B56" s="56" t="s">
        <v>234</v>
      </c>
      <c r="C56" s="56"/>
      <c r="D56" s="56" t="s">
        <v>168</v>
      </c>
      <c r="E56" s="56" t="s">
        <v>79</v>
      </c>
      <c r="F56" s="56"/>
      <c r="G56" s="56" t="s">
        <v>26</v>
      </c>
      <c r="H56" s="56" t="s">
        <v>130</v>
      </c>
      <c r="I56" s="56" t="s">
        <v>81</v>
      </c>
      <c r="J56" s="56" t="s">
        <v>93</v>
      </c>
      <c r="K56" s="225">
        <v>13.5</v>
      </c>
      <c r="L56" s="225">
        <v>21</v>
      </c>
      <c r="M56" s="225">
        <v>26</v>
      </c>
      <c r="N56" s="225">
        <v>14</v>
      </c>
      <c r="O56" s="225">
        <f t="shared" si="1"/>
        <v>74.5</v>
      </c>
      <c r="P56" s="225"/>
    </row>
    <row r="57" spans="1:16" ht="20.100000000000001" customHeight="1">
      <c r="A57" s="56">
        <v>56</v>
      </c>
      <c r="B57" s="56" t="s">
        <v>202</v>
      </c>
      <c r="C57" s="56"/>
      <c r="D57" s="56" t="s">
        <v>168</v>
      </c>
      <c r="E57" s="56" t="s">
        <v>79</v>
      </c>
      <c r="F57" s="56"/>
      <c r="G57" s="56" t="s">
        <v>26</v>
      </c>
      <c r="H57" s="56" t="s">
        <v>69</v>
      </c>
      <c r="I57" s="56" t="s">
        <v>89</v>
      </c>
      <c r="J57" s="56" t="s">
        <v>85</v>
      </c>
      <c r="K57" s="225">
        <v>14</v>
      </c>
      <c r="L57" s="56">
        <v>21.25</v>
      </c>
      <c r="M57" s="225">
        <v>26</v>
      </c>
      <c r="N57" s="225">
        <v>13</v>
      </c>
      <c r="O57" s="225">
        <f t="shared" si="1"/>
        <v>74.25</v>
      </c>
      <c r="P57" s="225"/>
    </row>
    <row r="58" spans="1:16" ht="20.100000000000001" customHeight="1">
      <c r="A58" s="56">
        <v>57</v>
      </c>
      <c r="B58" s="56" t="s">
        <v>207</v>
      </c>
      <c r="C58" s="56"/>
      <c r="D58" s="56" t="s">
        <v>168</v>
      </c>
      <c r="E58" s="56" t="s">
        <v>79</v>
      </c>
      <c r="F58" s="56"/>
      <c r="G58" s="56" t="s">
        <v>26</v>
      </c>
      <c r="H58" s="56" t="s">
        <v>123</v>
      </c>
      <c r="I58" s="56" t="s">
        <v>83</v>
      </c>
      <c r="J58" s="56" t="s">
        <v>85</v>
      </c>
      <c r="K58" s="225">
        <v>13.25</v>
      </c>
      <c r="L58" s="56">
        <v>20</v>
      </c>
      <c r="M58" s="225">
        <v>26</v>
      </c>
      <c r="N58" s="225">
        <v>15</v>
      </c>
      <c r="O58" s="225">
        <f t="shared" si="1"/>
        <v>74.25</v>
      </c>
      <c r="P58" s="225"/>
    </row>
    <row r="59" spans="1:16" ht="20.100000000000001" customHeight="1">
      <c r="A59" s="56">
        <v>58</v>
      </c>
      <c r="B59" s="56" t="s">
        <v>220</v>
      </c>
      <c r="C59" s="56"/>
      <c r="D59" s="56" t="s">
        <v>168</v>
      </c>
      <c r="E59" s="56" t="s">
        <v>79</v>
      </c>
      <c r="F59" s="56"/>
      <c r="G59" s="56" t="s">
        <v>26</v>
      </c>
      <c r="H59" s="56" t="s">
        <v>28</v>
      </c>
      <c r="I59" s="56" t="s">
        <v>221</v>
      </c>
      <c r="J59" s="56" t="s">
        <v>82</v>
      </c>
      <c r="K59" s="225">
        <v>14.75</v>
      </c>
      <c r="L59" s="56">
        <v>21.5</v>
      </c>
      <c r="M59" s="225">
        <v>25</v>
      </c>
      <c r="N59" s="225">
        <v>12</v>
      </c>
      <c r="O59" s="225">
        <f t="shared" si="1"/>
        <v>73.25</v>
      </c>
      <c r="P59" s="225"/>
    </row>
    <row r="60" spans="1:16" ht="20.100000000000001" customHeight="1">
      <c r="A60" s="56">
        <v>59</v>
      </c>
      <c r="B60" s="56" t="s">
        <v>283</v>
      </c>
      <c r="C60" s="56"/>
      <c r="D60" s="56" t="s">
        <v>168</v>
      </c>
      <c r="E60" s="56" t="s">
        <v>79</v>
      </c>
      <c r="F60" s="56"/>
      <c r="G60" s="56" t="s">
        <v>26</v>
      </c>
      <c r="H60" s="56" t="s">
        <v>57</v>
      </c>
      <c r="I60" s="56" t="s">
        <v>284</v>
      </c>
      <c r="J60" s="56" t="s">
        <v>85</v>
      </c>
      <c r="K60" s="225">
        <v>13</v>
      </c>
      <c r="L60" s="225">
        <v>21</v>
      </c>
      <c r="M60" s="225">
        <v>25</v>
      </c>
      <c r="N60" s="225">
        <v>14</v>
      </c>
      <c r="O60" s="225">
        <f t="shared" si="1"/>
        <v>73</v>
      </c>
      <c r="P60" s="225"/>
    </row>
    <row r="61" spans="1:16" ht="20.100000000000001" customHeight="1">
      <c r="A61" s="56">
        <v>60</v>
      </c>
      <c r="B61" s="56" t="s">
        <v>294</v>
      </c>
      <c r="C61" s="56"/>
      <c r="D61" s="56" t="s">
        <v>168</v>
      </c>
      <c r="E61" s="56" t="s">
        <v>79</v>
      </c>
      <c r="F61" s="56"/>
      <c r="G61" s="56" t="s">
        <v>26</v>
      </c>
      <c r="H61" s="56" t="s">
        <v>75</v>
      </c>
      <c r="I61" s="56"/>
      <c r="J61" s="56" t="s">
        <v>85</v>
      </c>
      <c r="K61" s="56">
        <v>13</v>
      </c>
      <c r="L61" s="56">
        <v>19</v>
      </c>
      <c r="M61" s="56">
        <v>26</v>
      </c>
      <c r="N61" s="56">
        <v>15</v>
      </c>
      <c r="O61" s="225">
        <f t="shared" si="1"/>
        <v>73</v>
      </c>
      <c r="P61" s="56"/>
    </row>
    <row r="62" spans="1:16" ht="20.100000000000001" customHeight="1">
      <c r="A62" s="56">
        <v>61</v>
      </c>
      <c r="B62" s="56" t="s">
        <v>245</v>
      </c>
      <c r="C62" s="56"/>
      <c r="D62" s="56" t="s">
        <v>168</v>
      </c>
      <c r="E62" s="56" t="s">
        <v>79</v>
      </c>
      <c r="F62" s="56"/>
      <c r="G62" s="56" t="s">
        <v>92</v>
      </c>
      <c r="H62" s="56" t="s">
        <v>52</v>
      </c>
      <c r="I62" s="56"/>
      <c r="J62" s="56" t="s">
        <v>93</v>
      </c>
      <c r="K62" s="225">
        <v>13.25</v>
      </c>
      <c r="L62" s="225">
        <v>18</v>
      </c>
      <c r="M62" s="225">
        <v>22</v>
      </c>
      <c r="N62" s="225">
        <v>15</v>
      </c>
      <c r="O62" s="225">
        <f t="shared" si="1"/>
        <v>68.25</v>
      </c>
      <c r="P62" s="225"/>
    </row>
    <row r="63" spans="1:16" ht="20.100000000000001" customHeight="1">
      <c r="A63" s="56">
        <v>62</v>
      </c>
      <c r="B63" s="56" t="s">
        <v>271</v>
      </c>
      <c r="C63" s="56"/>
      <c r="D63" s="56" t="s">
        <v>168</v>
      </c>
      <c r="E63" s="56" t="s">
        <v>79</v>
      </c>
      <c r="F63" s="56"/>
      <c r="G63" s="56" t="s">
        <v>26</v>
      </c>
      <c r="H63" s="56" t="s">
        <v>270</v>
      </c>
      <c r="I63" s="56" t="s">
        <v>83</v>
      </c>
      <c r="J63" s="56" t="s">
        <v>82</v>
      </c>
      <c r="K63" s="225">
        <v>11</v>
      </c>
      <c r="L63" s="225">
        <v>20</v>
      </c>
      <c r="M63" s="225">
        <v>22</v>
      </c>
      <c r="N63" s="225">
        <v>15</v>
      </c>
      <c r="O63" s="225">
        <f t="shared" si="1"/>
        <v>68</v>
      </c>
      <c r="P63" s="225"/>
    </row>
    <row r="64" spans="1:16" ht="20.100000000000001" customHeight="1">
      <c r="A64" s="56">
        <v>63</v>
      </c>
      <c r="B64" s="56" t="s">
        <v>216</v>
      </c>
      <c r="C64" s="56"/>
      <c r="D64" s="56" t="s">
        <v>168</v>
      </c>
      <c r="E64" s="56" t="s">
        <v>79</v>
      </c>
      <c r="F64" s="56"/>
      <c r="G64" s="56" t="s">
        <v>26</v>
      </c>
      <c r="H64" s="56" t="s">
        <v>65</v>
      </c>
      <c r="I64" s="56" t="s">
        <v>81</v>
      </c>
      <c r="J64" s="56" t="s">
        <v>85</v>
      </c>
      <c r="K64" s="225">
        <v>12</v>
      </c>
      <c r="L64" s="56">
        <v>20</v>
      </c>
      <c r="M64" s="225">
        <v>20</v>
      </c>
      <c r="N64" s="225">
        <v>15</v>
      </c>
      <c r="O64" s="225">
        <f t="shared" si="1"/>
        <v>67</v>
      </c>
      <c r="P64" s="225"/>
    </row>
    <row r="65" spans="1:16" ht="20.100000000000001" customHeight="1">
      <c r="A65" s="56">
        <v>64</v>
      </c>
      <c r="B65" s="56" t="s">
        <v>191</v>
      </c>
      <c r="C65" s="56"/>
      <c r="D65" s="56" t="s">
        <v>168</v>
      </c>
      <c r="E65" s="56" t="s">
        <v>79</v>
      </c>
      <c r="F65" s="56"/>
      <c r="G65" s="56" t="s">
        <v>26</v>
      </c>
      <c r="H65" s="56" t="s">
        <v>78</v>
      </c>
      <c r="I65" s="56" t="s">
        <v>83</v>
      </c>
      <c r="J65" s="56" t="s">
        <v>85</v>
      </c>
      <c r="K65" s="225">
        <v>12.75</v>
      </c>
      <c r="L65" s="56">
        <v>18</v>
      </c>
      <c r="M65" s="225">
        <v>20</v>
      </c>
      <c r="N65" s="225">
        <v>15</v>
      </c>
      <c r="O65" s="225">
        <f t="shared" si="1"/>
        <v>65.75</v>
      </c>
      <c r="P65" s="225"/>
    </row>
    <row r="66" spans="1:16" ht="20.100000000000001" customHeight="1">
      <c r="A66" s="56">
        <v>65</v>
      </c>
      <c r="B66" s="56" t="s">
        <v>183</v>
      </c>
      <c r="C66" s="56"/>
      <c r="D66" s="56" t="s">
        <v>168</v>
      </c>
      <c r="E66" s="56" t="s">
        <v>79</v>
      </c>
      <c r="F66" s="56"/>
      <c r="G66" s="56" t="s">
        <v>26</v>
      </c>
      <c r="H66" s="56" t="s">
        <v>182</v>
      </c>
      <c r="I66" s="56" t="s">
        <v>83</v>
      </c>
      <c r="J66" s="56" t="s">
        <v>82</v>
      </c>
      <c r="K66" s="225">
        <v>11.5</v>
      </c>
      <c r="L66" s="56">
        <v>18</v>
      </c>
      <c r="M66" s="225">
        <v>20</v>
      </c>
      <c r="N66" s="225">
        <v>15</v>
      </c>
      <c r="O66" s="225">
        <f t="shared" ref="O66:O70" si="2">SUM(K66:N66)</f>
        <v>64.5</v>
      </c>
      <c r="P66" s="225"/>
    </row>
    <row r="67" spans="1:16" ht="20.100000000000001" customHeight="1">
      <c r="A67" s="56">
        <v>66</v>
      </c>
      <c r="B67" s="56" t="s">
        <v>227</v>
      </c>
      <c r="C67" s="56"/>
      <c r="D67" s="56" t="s">
        <v>168</v>
      </c>
      <c r="E67" s="56" t="s">
        <v>79</v>
      </c>
      <c r="F67" s="56"/>
      <c r="G67" s="56" t="s">
        <v>26</v>
      </c>
      <c r="H67" s="56" t="s">
        <v>64</v>
      </c>
      <c r="I67" s="56" t="s">
        <v>96</v>
      </c>
      <c r="J67" s="56" t="s">
        <v>85</v>
      </c>
      <c r="K67" s="225"/>
      <c r="L67" s="225">
        <v>21.5</v>
      </c>
      <c r="M67" s="225"/>
      <c r="N67" s="225"/>
      <c r="O67" s="225">
        <f t="shared" si="2"/>
        <v>21.5</v>
      </c>
      <c r="P67" s="225" t="s">
        <v>1263</v>
      </c>
    </row>
    <row r="68" spans="1:16" ht="20.100000000000001" customHeight="1">
      <c r="A68" s="56">
        <v>67</v>
      </c>
      <c r="B68" s="56" t="s">
        <v>290</v>
      </c>
      <c r="C68" s="56"/>
      <c r="D68" s="56" t="s">
        <v>168</v>
      </c>
      <c r="E68" s="56" t="s">
        <v>79</v>
      </c>
      <c r="F68" s="56"/>
      <c r="G68" s="56" t="s">
        <v>26</v>
      </c>
      <c r="H68" s="56" t="s">
        <v>106</v>
      </c>
      <c r="I68" s="56"/>
      <c r="J68" s="56" t="s">
        <v>85</v>
      </c>
      <c r="K68" s="56"/>
      <c r="L68" s="56"/>
      <c r="M68" s="56"/>
      <c r="N68" s="56"/>
      <c r="O68" s="225">
        <f t="shared" si="2"/>
        <v>0</v>
      </c>
      <c r="P68" s="56" t="s">
        <v>1276</v>
      </c>
    </row>
    <row r="69" spans="1:16" ht="20.100000000000001" customHeight="1">
      <c r="A69" s="226">
        <v>68</v>
      </c>
      <c r="B69" s="226" t="s">
        <v>222</v>
      </c>
      <c r="C69" s="226"/>
      <c r="D69" s="226" t="s">
        <v>223</v>
      </c>
      <c r="E69" s="226" t="s">
        <v>79</v>
      </c>
      <c r="F69" s="226"/>
      <c r="G69" s="226" t="s">
        <v>25</v>
      </c>
      <c r="H69" s="226" t="s">
        <v>90</v>
      </c>
      <c r="I69" s="226" t="s">
        <v>83</v>
      </c>
      <c r="J69" s="226" t="s">
        <v>82</v>
      </c>
      <c r="K69" s="227">
        <v>16</v>
      </c>
      <c r="L69" s="226">
        <v>24</v>
      </c>
      <c r="M69" s="227">
        <v>32</v>
      </c>
      <c r="N69" s="227">
        <v>15</v>
      </c>
      <c r="O69" s="227">
        <f t="shared" si="2"/>
        <v>87</v>
      </c>
      <c r="P69" s="227"/>
    </row>
    <row r="70" spans="1:16" ht="20.100000000000001" customHeight="1">
      <c r="A70" s="226">
        <v>69</v>
      </c>
      <c r="B70" s="226" t="s">
        <v>264</v>
      </c>
      <c r="C70" s="226"/>
      <c r="D70" s="226" t="s">
        <v>168</v>
      </c>
      <c r="E70" s="226" t="s">
        <v>79</v>
      </c>
      <c r="F70" s="226"/>
      <c r="G70" s="226" t="s">
        <v>25</v>
      </c>
      <c r="H70" s="226" t="s">
        <v>55</v>
      </c>
      <c r="I70" s="226" t="s">
        <v>86</v>
      </c>
      <c r="J70" s="226" t="s">
        <v>85</v>
      </c>
      <c r="K70" s="227">
        <v>16.75</v>
      </c>
      <c r="L70" s="227">
        <v>23</v>
      </c>
      <c r="M70" s="227">
        <v>32</v>
      </c>
      <c r="N70" s="227">
        <v>15</v>
      </c>
      <c r="O70" s="227">
        <f t="shared" si="2"/>
        <v>86.75</v>
      </c>
      <c r="P70" s="227"/>
    </row>
    <row r="71" spans="1:16" ht="20.100000000000001" customHeight="1">
      <c r="A71" s="226">
        <v>70</v>
      </c>
      <c r="B71" s="226" t="s">
        <v>1231</v>
      </c>
      <c r="C71" s="226"/>
      <c r="D71" s="226" t="s">
        <v>168</v>
      </c>
      <c r="E71" s="226" t="s">
        <v>79</v>
      </c>
      <c r="F71" s="226"/>
      <c r="G71" s="226" t="s">
        <v>25</v>
      </c>
      <c r="H71" s="226" t="s">
        <v>1232</v>
      </c>
      <c r="I71" s="226" t="s">
        <v>102</v>
      </c>
      <c r="J71" s="226" t="s">
        <v>82</v>
      </c>
      <c r="K71" s="226">
        <v>15</v>
      </c>
      <c r="L71" s="226">
        <v>25</v>
      </c>
      <c r="M71" s="226">
        <v>31</v>
      </c>
      <c r="N71" s="226">
        <v>15</v>
      </c>
      <c r="O71" s="226">
        <f>SUBTOTAL(9,K71:N71)</f>
        <v>86</v>
      </c>
      <c r="P71" s="226"/>
    </row>
    <row r="72" spans="1:16" ht="20.100000000000001" customHeight="1">
      <c r="A72" s="226">
        <v>71</v>
      </c>
      <c r="B72" s="226" t="s">
        <v>198</v>
      </c>
      <c r="C72" s="226"/>
      <c r="D72" s="226" t="s">
        <v>168</v>
      </c>
      <c r="E72" s="226" t="s">
        <v>79</v>
      </c>
      <c r="F72" s="226"/>
      <c r="G72" s="226" t="s">
        <v>25</v>
      </c>
      <c r="H72" s="226" t="s">
        <v>72</v>
      </c>
      <c r="I72" s="226" t="s">
        <v>102</v>
      </c>
      <c r="J72" s="226" t="s">
        <v>82</v>
      </c>
      <c r="K72" s="227">
        <v>15.5</v>
      </c>
      <c r="L72" s="226">
        <v>24</v>
      </c>
      <c r="M72" s="227">
        <v>31</v>
      </c>
      <c r="N72" s="226">
        <v>15</v>
      </c>
      <c r="O72" s="227">
        <f t="shared" ref="O72:O116" si="3">SUM(K72:N72)</f>
        <v>85.5</v>
      </c>
      <c r="P72" s="227"/>
    </row>
    <row r="73" spans="1:16" ht="20.100000000000001" customHeight="1">
      <c r="A73" s="226">
        <v>72</v>
      </c>
      <c r="B73" s="226" t="s">
        <v>1262</v>
      </c>
      <c r="C73" s="228"/>
      <c r="D73" s="226" t="s">
        <v>168</v>
      </c>
      <c r="E73" s="226"/>
      <c r="F73" s="228"/>
      <c r="G73" s="226" t="s">
        <v>25</v>
      </c>
      <c r="H73" s="226" t="s">
        <v>1243</v>
      </c>
      <c r="I73" s="226"/>
      <c r="J73" s="226" t="s">
        <v>82</v>
      </c>
      <c r="K73" s="226">
        <v>16.5</v>
      </c>
      <c r="L73" s="226">
        <v>23.5</v>
      </c>
      <c r="M73" s="226">
        <v>30</v>
      </c>
      <c r="N73" s="226">
        <v>15</v>
      </c>
      <c r="O73" s="226">
        <f t="shared" si="3"/>
        <v>85</v>
      </c>
      <c r="P73" s="226"/>
    </row>
    <row r="74" spans="1:16" ht="20.100000000000001" customHeight="1">
      <c r="A74" s="226">
        <v>73</v>
      </c>
      <c r="B74" s="226" t="s">
        <v>258</v>
      </c>
      <c r="C74" s="226"/>
      <c r="D74" s="226" t="s">
        <v>168</v>
      </c>
      <c r="E74" s="226" t="s">
        <v>79</v>
      </c>
      <c r="F74" s="226"/>
      <c r="G74" s="226" t="s">
        <v>259</v>
      </c>
      <c r="H74" s="226" t="s">
        <v>59</v>
      </c>
      <c r="I74" s="226" t="s">
        <v>98</v>
      </c>
      <c r="J74" s="226" t="s">
        <v>255</v>
      </c>
      <c r="K74" s="227">
        <v>15</v>
      </c>
      <c r="L74" s="227">
        <v>24</v>
      </c>
      <c r="M74" s="227">
        <v>30</v>
      </c>
      <c r="N74" s="226">
        <v>15</v>
      </c>
      <c r="O74" s="227">
        <f t="shared" si="3"/>
        <v>84</v>
      </c>
      <c r="P74" s="227"/>
    </row>
    <row r="75" spans="1:16" ht="20.100000000000001" customHeight="1">
      <c r="A75" s="226">
        <v>74</v>
      </c>
      <c r="B75" s="226" t="s">
        <v>167</v>
      </c>
      <c r="C75" s="226"/>
      <c r="D75" s="226" t="s">
        <v>168</v>
      </c>
      <c r="E75" s="226" t="s">
        <v>79</v>
      </c>
      <c r="F75" s="226"/>
      <c r="G75" s="226" t="s">
        <v>25</v>
      </c>
      <c r="H75" s="226" t="s">
        <v>73</v>
      </c>
      <c r="I75" s="226" t="s">
        <v>83</v>
      </c>
      <c r="J75" s="226" t="s">
        <v>85</v>
      </c>
      <c r="K75" s="227">
        <v>15.5</v>
      </c>
      <c r="L75" s="226">
        <v>23.25</v>
      </c>
      <c r="M75" s="227">
        <v>29</v>
      </c>
      <c r="N75" s="227">
        <v>15</v>
      </c>
      <c r="O75" s="227">
        <f t="shared" si="3"/>
        <v>82.75</v>
      </c>
      <c r="P75" s="227"/>
    </row>
    <row r="76" spans="1:16" ht="20.100000000000001" customHeight="1">
      <c r="A76" s="226">
        <v>75</v>
      </c>
      <c r="B76" s="226" t="s">
        <v>275</v>
      </c>
      <c r="C76" s="226"/>
      <c r="D76" s="226" t="s">
        <v>168</v>
      </c>
      <c r="E76" s="226" t="s">
        <v>79</v>
      </c>
      <c r="F76" s="226"/>
      <c r="G76" s="226" t="s">
        <v>25</v>
      </c>
      <c r="H76" s="226" t="s">
        <v>100</v>
      </c>
      <c r="I76" s="226" t="s">
        <v>86</v>
      </c>
      <c r="J76" s="226" t="s">
        <v>82</v>
      </c>
      <c r="K76" s="227">
        <v>16.75</v>
      </c>
      <c r="L76" s="227">
        <v>22.75</v>
      </c>
      <c r="M76" s="227">
        <v>28</v>
      </c>
      <c r="N76" s="227">
        <v>15</v>
      </c>
      <c r="O76" s="227">
        <f t="shared" si="3"/>
        <v>82.5</v>
      </c>
      <c r="P76" s="227"/>
    </row>
    <row r="77" spans="1:16" ht="20.100000000000001" customHeight="1">
      <c r="A77" s="226">
        <v>76</v>
      </c>
      <c r="B77" s="226" t="s">
        <v>282</v>
      </c>
      <c r="C77" s="226"/>
      <c r="D77" s="226" t="s">
        <v>168</v>
      </c>
      <c r="E77" s="226" t="s">
        <v>79</v>
      </c>
      <c r="F77" s="226"/>
      <c r="G77" s="226" t="s">
        <v>25</v>
      </c>
      <c r="H77" s="226" t="s">
        <v>57</v>
      </c>
      <c r="I77" s="226" t="s">
        <v>83</v>
      </c>
      <c r="J77" s="226" t="s">
        <v>85</v>
      </c>
      <c r="K77" s="227">
        <v>14.25</v>
      </c>
      <c r="L77" s="227">
        <v>23.25</v>
      </c>
      <c r="M77" s="227">
        <v>30</v>
      </c>
      <c r="N77" s="227">
        <v>15</v>
      </c>
      <c r="O77" s="227">
        <f t="shared" si="3"/>
        <v>82.5</v>
      </c>
      <c r="P77" s="227"/>
    </row>
    <row r="78" spans="1:16" ht="20.100000000000001" customHeight="1">
      <c r="A78" s="226">
        <v>77</v>
      </c>
      <c r="B78" s="226" t="s">
        <v>297</v>
      </c>
      <c r="C78" s="226"/>
      <c r="D78" s="226" t="s">
        <v>168</v>
      </c>
      <c r="E78" s="226" t="s">
        <v>79</v>
      </c>
      <c r="F78" s="226"/>
      <c r="G78" s="226" t="s">
        <v>25</v>
      </c>
      <c r="H78" s="226" t="s">
        <v>75</v>
      </c>
      <c r="I78" s="226"/>
      <c r="J78" s="226" t="s">
        <v>85</v>
      </c>
      <c r="K78" s="226">
        <v>14.5</v>
      </c>
      <c r="L78" s="226">
        <v>24</v>
      </c>
      <c r="M78" s="226">
        <v>29</v>
      </c>
      <c r="N78" s="226">
        <v>15</v>
      </c>
      <c r="O78" s="227">
        <f t="shared" si="3"/>
        <v>82.5</v>
      </c>
      <c r="P78" s="226"/>
    </row>
    <row r="79" spans="1:16" ht="20.100000000000001" customHeight="1">
      <c r="A79" s="226">
        <v>78</v>
      </c>
      <c r="B79" s="226" t="s">
        <v>281</v>
      </c>
      <c r="C79" s="226"/>
      <c r="D79" s="226" t="s">
        <v>168</v>
      </c>
      <c r="E79" s="226" t="s">
        <v>79</v>
      </c>
      <c r="F79" s="226"/>
      <c r="G79" s="226" t="s">
        <v>25</v>
      </c>
      <c r="H79" s="226" t="s">
        <v>280</v>
      </c>
      <c r="I79" s="226" t="s">
        <v>83</v>
      </c>
      <c r="J79" s="226" t="s">
        <v>82</v>
      </c>
      <c r="K79" s="227">
        <v>14.75</v>
      </c>
      <c r="L79" s="227">
        <v>21.5</v>
      </c>
      <c r="M79" s="227">
        <v>29.5</v>
      </c>
      <c r="N79" s="227">
        <v>15</v>
      </c>
      <c r="O79" s="227">
        <f t="shared" si="3"/>
        <v>80.75</v>
      </c>
      <c r="P79" s="227"/>
    </row>
    <row r="80" spans="1:16" ht="20.100000000000001" customHeight="1">
      <c r="A80" s="226">
        <v>79</v>
      </c>
      <c r="B80" s="226" t="s">
        <v>179</v>
      </c>
      <c r="C80" s="226"/>
      <c r="D80" s="226" t="s">
        <v>168</v>
      </c>
      <c r="E80" s="226" t="s">
        <v>79</v>
      </c>
      <c r="F80" s="226"/>
      <c r="G80" s="226" t="s">
        <v>25</v>
      </c>
      <c r="H80" s="226" t="s">
        <v>113</v>
      </c>
      <c r="I80" s="226" t="s">
        <v>83</v>
      </c>
      <c r="J80" s="226" t="s">
        <v>85</v>
      </c>
      <c r="K80" s="227">
        <v>16.5</v>
      </c>
      <c r="L80" s="226">
        <v>22</v>
      </c>
      <c r="M80" s="227">
        <v>27</v>
      </c>
      <c r="N80" s="227">
        <v>15</v>
      </c>
      <c r="O80" s="227">
        <f t="shared" si="3"/>
        <v>80.5</v>
      </c>
      <c r="P80" s="227"/>
    </row>
    <row r="81" spans="1:16" ht="20.100000000000001" customHeight="1">
      <c r="A81" s="226">
        <v>80</v>
      </c>
      <c r="B81" s="226" t="s">
        <v>277</v>
      </c>
      <c r="C81" s="226"/>
      <c r="D81" s="226" t="s">
        <v>168</v>
      </c>
      <c r="E81" s="226" t="s">
        <v>79</v>
      </c>
      <c r="F81" s="226"/>
      <c r="G81" s="226" t="s">
        <v>25</v>
      </c>
      <c r="H81" s="226" t="s">
        <v>137</v>
      </c>
      <c r="I81" s="226" t="s">
        <v>83</v>
      </c>
      <c r="J81" s="226" t="s">
        <v>278</v>
      </c>
      <c r="K81" s="227">
        <v>14.5</v>
      </c>
      <c r="L81" s="227">
        <v>22.5</v>
      </c>
      <c r="M81" s="227">
        <v>28</v>
      </c>
      <c r="N81" s="227">
        <v>15</v>
      </c>
      <c r="O81" s="227">
        <f t="shared" si="3"/>
        <v>80</v>
      </c>
      <c r="P81" s="227"/>
    </row>
    <row r="82" spans="1:16" ht="20.100000000000001" customHeight="1">
      <c r="A82" s="226">
        <v>81</v>
      </c>
      <c r="B82" s="226" t="s">
        <v>213</v>
      </c>
      <c r="C82" s="226"/>
      <c r="D82" s="226" t="s">
        <v>168</v>
      </c>
      <c r="E82" s="226" t="s">
        <v>79</v>
      </c>
      <c r="F82" s="226"/>
      <c r="G82" s="226" t="s">
        <v>25</v>
      </c>
      <c r="H82" s="226" t="s">
        <v>65</v>
      </c>
      <c r="I82" s="226" t="s">
        <v>83</v>
      </c>
      <c r="J82" s="226" t="s">
        <v>85</v>
      </c>
      <c r="K82" s="227">
        <v>15.25</v>
      </c>
      <c r="L82" s="226">
        <v>21.25</v>
      </c>
      <c r="M82" s="227">
        <v>28</v>
      </c>
      <c r="N82" s="227">
        <v>15</v>
      </c>
      <c r="O82" s="227">
        <f t="shared" si="3"/>
        <v>79.5</v>
      </c>
      <c r="P82" s="227"/>
    </row>
    <row r="83" spans="1:16" ht="20.100000000000001" customHeight="1">
      <c r="A83" s="226">
        <v>82</v>
      </c>
      <c r="B83" s="226" t="s">
        <v>206</v>
      </c>
      <c r="C83" s="226"/>
      <c r="D83" s="226" t="s">
        <v>168</v>
      </c>
      <c r="E83" s="226" t="s">
        <v>79</v>
      </c>
      <c r="F83" s="226"/>
      <c r="G83" s="226" t="s">
        <v>25</v>
      </c>
      <c r="H83" s="226" t="s">
        <v>122</v>
      </c>
      <c r="I83" s="226" t="s">
        <v>83</v>
      </c>
      <c r="J83" s="226" t="s">
        <v>85</v>
      </c>
      <c r="K83" s="227">
        <v>15.5</v>
      </c>
      <c r="L83" s="226">
        <v>20.75</v>
      </c>
      <c r="M83" s="227">
        <v>27</v>
      </c>
      <c r="N83" s="227">
        <v>15</v>
      </c>
      <c r="O83" s="227">
        <f t="shared" si="3"/>
        <v>78.25</v>
      </c>
      <c r="P83" s="227"/>
    </row>
    <row r="84" spans="1:16" ht="20.100000000000001" customHeight="1">
      <c r="A84" s="226">
        <v>83</v>
      </c>
      <c r="B84" s="226" t="s">
        <v>296</v>
      </c>
      <c r="C84" s="226"/>
      <c r="D84" s="226" t="s">
        <v>168</v>
      </c>
      <c r="E84" s="226" t="s">
        <v>79</v>
      </c>
      <c r="F84" s="226"/>
      <c r="G84" s="226" t="s">
        <v>25</v>
      </c>
      <c r="H84" s="226" t="s">
        <v>75</v>
      </c>
      <c r="I84" s="226"/>
      <c r="J84" s="226" t="s">
        <v>85</v>
      </c>
      <c r="K84" s="226">
        <v>13.25</v>
      </c>
      <c r="L84" s="226">
        <v>22</v>
      </c>
      <c r="M84" s="226">
        <v>28</v>
      </c>
      <c r="N84" s="226">
        <v>15</v>
      </c>
      <c r="O84" s="227">
        <f t="shared" si="3"/>
        <v>78.25</v>
      </c>
      <c r="P84" s="226"/>
    </row>
    <row r="85" spans="1:16" ht="20.100000000000001" customHeight="1">
      <c r="A85" s="226">
        <v>84</v>
      </c>
      <c r="B85" s="226" t="s">
        <v>265</v>
      </c>
      <c r="C85" s="226"/>
      <c r="D85" s="226" t="s">
        <v>168</v>
      </c>
      <c r="E85" s="226" t="s">
        <v>79</v>
      </c>
      <c r="F85" s="226"/>
      <c r="G85" s="226" t="s">
        <v>25</v>
      </c>
      <c r="H85" s="226" t="s">
        <v>55</v>
      </c>
      <c r="I85" s="226" t="s">
        <v>83</v>
      </c>
      <c r="J85" s="226" t="s">
        <v>85</v>
      </c>
      <c r="K85" s="227">
        <v>14.5</v>
      </c>
      <c r="L85" s="227">
        <v>21.5</v>
      </c>
      <c r="M85" s="227">
        <v>27</v>
      </c>
      <c r="N85" s="227">
        <v>15</v>
      </c>
      <c r="O85" s="227">
        <f t="shared" si="3"/>
        <v>78</v>
      </c>
      <c r="P85" s="227"/>
    </row>
    <row r="86" spans="1:16" ht="20.100000000000001" customHeight="1">
      <c r="A86" s="226">
        <v>85</v>
      </c>
      <c r="B86" s="226" t="s">
        <v>217</v>
      </c>
      <c r="C86" s="226"/>
      <c r="D86" s="226" t="s">
        <v>168</v>
      </c>
      <c r="E86" s="226" t="s">
        <v>79</v>
      </c>
      <c r="F86" s="226"/>
      <c r="G86" s="226" t="s">
        <v>25</v>
      </c>
      <c r="H86" s="226" t="s">
        <v>32</v>
      </c>
      <c r="I86" s="226" t="s">
        <v>119</v>
      </c>
      <c r="J86" s="226" t="s">
        <v>85</v>
      </c>
      <c r="K86" s="227">
        <v>16</v>
      </c>
      <c r="L86" s="226">
        <v>21.75</v>
      </c>
      <c r="M86" s="227">
        <v>27</v>
      </c>
      <c r="N86" s="227">
        <v>13</v>
      </c>
      <c r="O86" s="227">
        <f t="shared" si="3"/>
        <v>77.75</v>
      </c>
      <c r="P86" s="227"/>
    </row>
    <row r="87" spans="1:16" ht="20.100000000000001" customHeight="1">
      <c r="A87" s="226">
        <v>86</v>
      </c>
      <c r="B87" s="226" t="s">
        <v>193</v>
      </c>
      <c r="C87" s="226"/>
      <c r="D87" s="226" t="s">
        <v>168</v>
      </c>
      <c r="E87" s="226" t="s">
        <v>79</v>
      </c>
      <c r="F87" s="226"/>
      <c r="G87" s="226" t="s">
        <v>25</v>
      </c>
      <c r="H87" s="226" t="s">
        <v>56</v>
      </c>
      <c r="I87" s="226" t="s">
        <v>83</v>
      </c>
      <c r="J87" s="226" t="s">
        <v>85</v>
      </c>
      <c r="K87" s="227">
        <v>14</v>
      </c>
      <c r="L87" s="226">
        <v>21</v>
      </c>
      <c r="M87" s="227">
        <v>27</v>
      </c>
      <c r="N87" s="227">
        <v>15</v>
      </c>
      <c r="O87" s="227">
        <f t="shared" si="3"/>
        <v>77</v>
      </c>
      <c r="P87" s="227"/>
    </row>
    <row r="88" spans="1:16" ht="20.100000000000001" customHeight="1">
      <c r="A88" s="226">
        <v>87</v>
      </c>
      <c r="B88" s="226" t="s">
        <v>269</v>
      </c>
      <c r="C88" s="226"/>
      <c r="D88" s="226" t="s">
        <v>168</v>
      </c>
      <c r="E88" s="226" t="s">
        <v>79</v>
      </c>
      <c r="F88" s="226"/>
      <c r="G88" s="226" t="s">
        <v>25</v>
      </c>
      <c r="H88" s="226" t="s">
        <v>270</v>
      </c>
      <c r="I88" s="226" t="s">
        <v>83</v>
      </c>
      <c r="J88" s="226" t="s">
        <v>82</v>
      </c>
      <c r="K88" s="227">
        <v>14.5</v>
      </c>
      <c r="L88" s="227">
        <v>21.25</v>
      </c>
      <c r="M88" s="227">
        <v>26</v>
      </c>
      <c r="N88" s="227">
        <v>15</v>
      </c>
      <c r="O88" s="227">
        <f t="shared" si="3"/>
        <v>76.75</v>
      </c>
      <c r="P88" s="227"/>
    </row>
    <row r="89" spans="1:16" ht="20.100000000000001" customHeight="1">
      <c r="A89" s="226">
        <v>88</v>
      </c>
      <c r="B89" s="226" t="s">
        <v>199</v>
      </c>
      <c r="C89" s="226"/>
      <c r="D89" s="226" t="s">
        <v>168</v>
      </c>
      <c r="E89" s="226" t="s">
        <v>79</v>
      </c>
      <c r="F89" s="226"/>
      <c r="G89" s="226" t="s">
        <v>25</v>
      </c>
      <c r="H89" s="226" t="s">
        <v>72</v>
      </c>
      <c r="I89" s="226"/>
      <c r="J89" s="226" t="s">
        <v>82</v>
      </c>
      <c r="K89" s="227">
        <v>14.5</v>
      </c>
      <c r="L89" s="226">
        <v>21</v>
      </c>
      <c r="M89" s="227">
        <v>26</v>
      </c>
      <c r="N89" s="226">
        <v>15</v>
      </c>
      <c r="O89" s="227">
        <f t="shared" si="3"/>
        <v>76.5</v>
      </c>
      <c r="P89" s="227"/>
    </row>
    <row r="90" spans="1:16" ht="20.100000000000001" customHeight="1">
      <c r="A90" s="226">
        <v>89</v>
      </c>
      <c r="B90" s="226" t="s">
        <v>261</v>
      </c>
      <c r="C90" s="226"/>
      <c r="D90" s="226" t="s">
        <v>168</v>
      </c>
      <c r="E90" s="226" t="s">
        <v>79</v>
      </c>
      <c r="F90" s="226"/>
      <c r="G90" s="226" t="s">
        <v>25</v>
      </c>
      <c r="H90" s="226" t="s">
        <v>34</v>
      </c>
      <c r="I90" s="226" t="s">
        <v>96</v>
      </c>
      <c r="J90" s="226" t="s">
        <v>93</v>
      </c>
      <c r="K90" s="227">
        <v>13.5</v>
      </c>
      <c r="L90" s="227">
        <v>21</v>
      </c>
      <c r="M90" s="227">
        <v>27</v>
      </c>
      <c r="N90" s="227">
        <v>15</v>
      </c>
      <c r="O90" s="227">
        <f t="shared" si="3"/>
        <v>76.5</v>
      </c>
      <c r="P90" s="227"/>
    </row>
    <row r="91" spans="1:16" ht="20.100000000000001" customHeight="1">
      <c r="A91" s="226">
        <v>90</v>
      </c>
      <c r="B91" s="226" t="s">
        <v>292</v>
      </c>
      <c r="C91" s="226"/>
      <c r="D91" s="226" t="s">
        <v>168</v>
      </c>
      <c r="E91" s="226" t="s">
        <v>79</v>
      </c>
      <c r="F91" s="226"/>
      <c r="G91" s="226" t="s">
        <v>25</v>
      </c>
      <c r="H91" s="226" t="s">
        <v>71</v>
      </c>
      <c r="I91" s="226" t="s">
        <v>96</v>
      </c>
      <c r="J91" s="226" t="s">
        <v>85</v>
      </c>
      <c r="K91" s="226">
        <v>14.5</v>
      </c>
      <c r="L91" s="226">
        <v>21</v>
      </c>
      <c r="M91" s="226">
        <v>26</v>
      </c>
      <c r="N91" s="226">
        <v>15</v>
      </c>
      <c r="O91" s="227">
        <f t="shared" si="3"/>
        <v>76.5</v>
      </c>
      <c r="P91" s="226"/>
    </row>
    <row r="92" spans="1:16" ht="20.100000000000001" customHeight="1">
      <c r="A92" s="226">
        <v>91</v>
      </c>
      <c r="B92" s="226" t="s">
        <v>260</v>
      </c>
      <c r="C92" s="226"/>
      <c r="D92" s="226" t="s">
        <v>168</v>
      </c>
      <c r="E92" s="226" t="s">
        <v>79</v>
      </c>
      <c r="F92" s="226"/>
      <c r="G92" s="226" t="s">
        <v>25</v>
      </c>
      <c r="H92" s="226" t="s">
        <v>34</v>
      </c>
      <c r="I92" s="226" t="s">
        <v>96</v>
      </c>
      <c r="J92" s="226" t="s">
        <v>85</v>
      </c>
      <c r="K92" s="227">
        <v>14.25</v>
      </c>
      <c r="L92" s="227">
        <v>21</v>
      </c>
      <c r="M92" s="227">
        <v>26</v>
      </c>
      <c r="N92" s="227">
        <v>15</v>
      </c>
      <c r="O92" s="227">
        <f t="shared" si="3"/>
        <v>76.25</v>
      </c>
      <c r="P92" s="227"/>
    </row>
    <row r="93" spans="1:16" ht="20.100000000000001" customHeight="1">
      <c r="A93" s="226">
        <v>92</v>
      </c>
      <c r="B93" s="226" t="s">
        <v>212</v>
      </c>
      <c r="C93" s="226"/>
      <c r="D93" s="226" t="s">
        <v>168</v>
      </c>
      <c r="E93" s="226" t="s">
        <v>103</v>
      </c>
      <c r="F93" s="226"/>
      <c r="G93" s="226" t="s">
        <v>25</v>
      </c>
      <c r="H93" s="226" t="s">
        <v>127</v>
      </c>
      <c r="I93" s="226" t="s">
        <v>83</v>
      </c>
      <c r="J93" s="226" t="s">
        <v>85</v>
      </c>
      <c r="K93" s="227">
        <v>14.25</v>
      </c>
      <c r="L93" s="226">
        <v>20.75</v>
      </c>
      <c r="M93" s="227">
        <v>26</v>
      </c>
      <c r="N93" s="227">
        <v>15</v>
      </c>
      <c r="O93" s="227">
        <f t="shared" si="3"/>
        <v>76</v>
      </c>
      <c r="P93" s="227"/>
    </row>
    <row r="94" spans="1:16" ht="20.100000000000001" customHeight="1">
      <c r="A94" s="226">
        <v>93</v>
      </c>
      <c r="B94" s="226" t="s">
        <v>176</v>
      </c>
      <c r="C94" s="226"/>
      <c r="D94" s="226" t="s">
        <v>168</v>
      </c>
      <c r="E94" s="226" t="s">
        <v>79</v>
      </c>
      <c r="F94" s="226"/>
      <c r="G94" s="226" t="s">
        <v>25</v>
      </c>
      <c r="H94" s="226" t="s">
        <v>111</v>
      </c>
      <c r="I94" s="226" t="s">
        <v>83</v>
      </c>
      <c r="J94" s="226" t="s">
        <v>85</v>
      </c>
      <c r="K94" s="227">
        <v>14.75</v>
      </c>
      <c r="L94" s="226">
        <v>20</v>
      </c>
      <c r="M94" s="227">
        <v>26</v>
      </c>
      <c r="N94" s="227">
        <v>15</v>
      </c>
      <c r="O94" s="227">
        <f t="shared" si="3"/>
        <v>75.75</v>
      </c>
      <c r="P94" s="227"/>
    </row>
    <row r="95" spans="1:16" ht="20.100000000000001" customHeight="1">
      <c r="A95" s="226">
        <v>94</v>
      </c>
      <c r="B95" s="226" t="s">
        <v>218</v>
      </c>
      <c r="C95" s="226"/>
      <c r="D95" s="226" t="s">
        <v>168</v>
      </c>
      <c r="E95" s="226" t="s">
        <v>79</v>
      </c>
      <c r="F95" s="226"/>
      <c r="G95" s="226" t="s">
        <v>25</v>
      </c>
      <c r="H95" s="226" t="s">
        <v>32</v>
      </c>
      <c r="I95" s="226" t="s">
        <v>86</v>
      </c>
      <c r="J95" s="226" t="s">
        <v>85</v>
      </c>
      <c r="K95" s="227">
        <v>13.75</v>
      </c>
      <c r="L95" s="226">
        <v>21</v>
      </c>
      <c r="M95" s="227">
        <v>26</v>
      </c>
      <c r="N95" s="227">
        <v>15</v>
      </c>
      <c r="O95" s="227">
        <f t="shared" si="3"/>
        <v>75.75</v>
      </c>
      <c r="P95" s="227"/>
    </row>
    <row r="96" spans="1:16" ht="20.100000000000001" customHeight="1">
      <c r="A96" s="226">
        <v>95</v>
      </c>
      <c r="B96" s="226" t="s">
        <v>236</v>
      </c>
      <c r="C96" s="226"/>
      <c r="D96" s="226" t="s">
        <v>168</v>
      </c>
      <c r="E96" s="226" t="s">
        <v>79</v>
      </c>
      <c r="F96" s="226"/>
      <c r="G96" s="226" t="s">
        <v>25</v>
      </c>
      <c r="H96" s="226" t="s">
        <v>130</v>
      </c>
      <c r="I96" s="226" t="s">
        <v>83</v>
      </c>
      <c r="J96" s="226" t="s">
        <v>93</v>
      </c>
      <c r="K96" s="227">
        <v>14.5</v>
      </c>
      <c r="L96" s="227">
        <v>20</v>
      </c>
      <c r="M96" s="227">
        <v>25</v>
      </c>
      <c r="N96" s="227">
        <v>15</v>
      </c>
      <c r="O96" s="227">
        <f t="shared" si="3"/>
        <v>74.5</v>
      </c>
      <c r="P96" s="227"/>
    </row>
    <row r="97" spans="1:16" ht="20.100000000000001" customHeight="1">
      <c r="A97" s="226">
        <v>96</v>
      </c>
      <c r="B97" s="226" t="s">
        <v>197</v>
      </c>
      <c r="C97" s="226"/>
      <c r="D97" s="226" t="s">
        <v>168</v>
      </c>
      <c r="E97" s="226" t="s">
        <v>79</v>
      </c>
      <c r="F97" s="226"/>
      <c r="G97" s="226" t="s">
        <v>25</v>
      </c>
      <c r="H97" s="226" t="s">
        <v>196</v>
      </c>
      <c r="I97" s="226" t="s">
        <v>83</v>
      </c>
      <c r="J97" s="226" t="s">
        <v>82</v>
      </c>
      <c r="K97" s="227">
        <v>14.25</v>
      </c>
      <c r="L97" s="226">
        <v>20.75</v>
      </c>
      <c r="M97" s="227">
        <v>25</v>
      </c>
      <c r="N97" s="226">
        <v>14</v>
      </c>
      <c r="O97" s="227">
        <f t="shared" si="3"/>
        <v>74</v>
      </c>
      <c r="P97" s="227"/>
    </row>
    <row r="98" spans="1:16" ht="20.100000000000001" customHeight="1">
      <c r="A98" s="226">
        <v>97</v>
      </c>
      <c r="B98" s="226" t="s">
        <v>219</v>
      </c>
      <c r="C98" s="226"/>
      <c r="D98" s="226" t="s">
        <v>168</v>
      </c>
      <c r="E98" s="226" t="s">
        <v>79</v>
      </c>
      <c r="F98" s="226"/>
      <c r="G98" s="226" t="s">
        <v>25</v>
      </c>
      <c r="H98" s="226" t="s">
        <v>28</v>
      </c>
      <c r="I98" s="226" t="s">
        <v>86</v>
      </c>
      <c r="J98" s="226" t="s">
        <v>82</v>
      </c>
      <c r="K98" s="227">
        <v>13.75</v>
      </c>
      <c r="L98" s="226">
        <v>19</v>
      </c>
      <c r="M98" s="227">
        <v>26</v>
      </c>
      <c r="N98" s="227">
        <v>15</v>
      </c>
      <c r="O98" s="227">
        <f t="shared" si="3"/>
        <v>73.75</v>
      </c>
      <c r="P98" s="227"/>
    </row>
    <row r="99" spans="1:16" ht="20.100000000000001" customHeight="1">
      <c r="A99" s="226">
        <v>98</v>
      </c>
      <c r="B99" s="226" t="s">
        <v>287</v>
      </c>
      <c r="C99" s="226"/>
      <c r="D99" s="226" t="s">
        <v>168</v>
      </c>
      <c r="E99" s="226" t="s">
        <v>79</v>
      </c>
      <c r="F99" s="226"/>
      <c r="G99" s="226" t="s">
        <v>25</v>
      </c>
      <c r="H99" s="226" t="s">
        <v>58</v>
      </c>
      <c r="I99" s="226" t="s">
        <v>83</v>
      </c>
      <c r="J99" s="226" t="s">
        <v>82</v>
      </c>
      <c r="K99" s="226">
        <v>13.75</v>
      </c>
      <c r="L99" s="226">
        <v>20.5</v>
      </c>
      <c r="M99" s="226">
        <v>24</v>
      </c>
      <c r="N99" s="226">
        <v>15</v>
      </c>
      <c r="O99" s="227">
        <f t="shared" si="3"/>
        <v>73.25</v>
      </c>
      <c r="P99" s="226"/>
    </row>
    <row r="100" spans="1:16" ht="20.100000000000001" customHeight="1">
      <c r="A100" s="226">
        <v>99</v>
      </c>
      <c r="B100" s="226" t="s">
        <v>184</v>
      </c>
      <c r="C100" s="226"/>
      <c r="D100" s="226" t="s">
        <v>168</v>
      </c>
      <c r="E100" s="226" t="s">
        <v>79</v>
      </c>
      <c r="F100" s="226"/>
      <c r="G100" s="226" t="s">
        <v>25</v>
      </c>
      <c r="H100" s="226" t="s">
        <v>182</v>
      </c>
      <c r="I100" s="226" t="s">
        <v>86</v>
      </c>
      <c r="J100" s="226" t="s">
        <v>82</v>
      </c>
      <c r="K100" s="227">
        <v>14.25</v>
      </c>
      <c r="L100" s="226">
        <v>20.5</v>
      </c>
      <c r="M100" s="227">
        <v>23</v>
      </c>
      <c r="N100" s="227">
        <v>15</v>
      </c>
      <c r="O100" s="227">
        <f t="shared" si="3"/>
        <v>72.75</v>
      </c>
      <c r="P100" s="227"/>
    </row>
    <row r="101" spans="1:16" ht="20.100000000000001" customHeight="1">
      <c r="A101" s="226">
        <v>100</v>
      </c>
      <c r="B101" s="226" t="s">
        <v>276</v>
      </c>
      <c r="C101" s="226"/>
      <c r="D101" s="226" t="s">
        <v>168</v>
      </c>
      <c r="E101" s="226" t="s">
        <v>79</v>
      </c>
      <c r="F101" s="226"/>
      <c r="G101" s="226" t="s">
        <v>25</v>
      </c>
      <c r="H101" s="226" t="s">
        <v>100</v>
      </c>
      <c r="I101" s="226" t="s">
        <v>86</v>
      </c>
      <c r="J101" s="226" t="s">
        <v>82</v>
      </c>
      <c r="K101" s="227">
        <v>13.75</v>
      </c>
      <c r="L101" s="227">
        <v>20.75</v>
      </c>
      <c r="M101" s="227">
        <v>23</v>
      </c>
      <c r="N101" s="227">
        <v>15</v>
      </c>
      <c r="O101" s="227">
        <f t="shared" si="3"/>
        <v>72.5</v>
      </c>
      <c r="P101" s="227"/>
    </row>
    <row r="102" spans="1:16">
      <c r="A102" s="226">
        <v>101</v>
      </c>
      <c r="B102" s="226" t="s">
        <v>205</v>
      </c>
      <c r="C102" s="226"/>
      <c r="D102" s="226" t="s">
        <v>168</v>
      </c>
      <c r="E102" s="226" t="s">
        <v>79</v>
      </c>
      <c r="F102" s="226"/>
      <c r="G102" s="226" t="s">
        <v>25</v>
      </c>
      <c r="H102" s="226" t="s">
        <v>122</v>
      </c>
      <c r="I102" s="226" t="s">
        <v>119</v>
      </c>
      <c r="J102" s="226" t="s">
        <v>85</v>
      </c>
      <c r="K102" s="227">
        <v>14</v>
      </c>
      <c r="L102" s="226">
        <v>20.5</v>
      </c>
      <c r="M102" s="227">
        <v>24</v>
      </c>
      <c r="N102" s="227">
        <v>13</v>
      </c>
      <c r="O102" s="227">
        <f t="shared" si="3"/>
        <v>71.5</v>
      </c>
      <c r="P102" s="227"/>
    </row>
    <row r="103" spans="1:16">
      <c r="A103" s="226">
        <v>102</v>
      </c>
      <c r="B103" s="226" t="s">
        <v>209</v>
      </c>
      <c r="C103" s="226"/>
      <c r="D103" s="226" t="s">
        <v>168</v>
      </c>
      <c r="E103" s="226" t="s">
        <v>79</v>
      </c>
      <c r="F103" s="226"/>
      <c r="G103" s="226" t="s">
        <v>25</v>
      </c>
      <c r="H103" s="226" t="s">
        <v>126</v>
      </c>
      <c r="I103" s="226" t="s">
        <v>83</v>
      </c>
      <c r="J103" s="226" t="s">
        <v>93</v>
      </c>
      <c r="K103" s="227">
        <v>13</v>
      </c>
      <c r="L103" s="226">
        <v>18</v>
      </c>
      <c r="M103" s="227">
        <v>25</v>
      </c>
      <c r="N103" s="227">
        <v>15</v>
      </c>
      <c r="O103" s="227">
        <f t="shared" si="3"/>
        <v>71</v>
      </c>
      <c r="P103" s="227"/>
    </row>
    <row r="104" spans="1:16">
      <c r="A104" s="226">
        <v>103</v>
      </c>
      <c r="B104" s="226" t="s">
        <v>177</v>
      </c>
      <c r="C104" s="226"/>
      <c r="D104" s="226" t="s">
        <v>168</v>
      </c>
      <c r="E104" s="226" t="s">
        <v>79</v>
      </c>
      <c r="F104" s="226"/>
      <c r="G104" s="226" t="s">
        <v>178</v>
      </c>
      <c r="H104" s="226" t="s">
        <v>84</v>
      </c>
      <c r="I104" s="226" t="s">
        <v>86</v>
      </c>
      <c r="J104" s="226" t="s">
        <v>85</v>
      </c>
      <c r="K104" s="227">
        <v>12.5</v>
      </c>
      <c r="L104" s="226">
        <v>20</v>
      </c>
      <c r="M104" s="227">
        <v>23</v>
      </c>
      <c r="N104" s="227">
        <v>15</v>
      </c>
      <c r="O104" s="227">
        <f t="shared" si="3"/>
        <v>70.5</v>
      </c>
      <c r="P104" s="227"/>
    </row>
    <row r="105" spans="1:16">
      <c r="A105" s="226">
        <v>104</v>
      </c>
      <c r="B105" s="226" t="s">
        <v>243</v>
      </c>
      <c r="C105" s="226"/>
      <c r="D105" s="226" t="s">
        <v>168</v>
      </c>
      <c r="E105" s="226" t="s">
        <v>79</v>
      </c>
      <c r="F105" s="226"/>
      <c r="G105" s="226" t="s">
        <v>25</v>
      </c>
      <c r="H105" s="226" t="s">
        <v>61</v>
      </c>
      <c r="I105" s="226" t="s">
        <v>83</v>
      </c>
      <c r="J105" s="226" t="s">
        <v>85</v>
      </c>
      <c r="K105" s="227">
        <v>13.5</v>
      </c>
      <c r="L105" s="227">
        <v>20.75</v>
      </c>
      <c r="M105" s="227">
        <v>20</v>
      </c>
      <c r="N105" s="227">
        <v>15</v>
      </c>
      <c r="O105" s="227">
        <f t="shared" si="3"/>
        <v>69.25</v>
      </c>
      <c r="P105" s="227"/>
    </row>
    <row r="106" spans="1:16">
      <c r="A106" s="226">
        <v>105</v>
      </c>
      <c r="B106" s="226" t="s">
        <v>252</v>
      </c>
      <c r="C106" s="226"/>
      <c r="D106" s="226" t="s">
        <v>168</v>
      </c>
      <c r="E106" s="226" t="s">
        <v>79</v>
      </c>
      <c r="F106" s="226"/>
      <c r="G106" s="226" t="s">
        <v>25</v>
      </c>
      <c r="H106" s="226" t="s">
        <v>60</v>
      </c>
      <c r="I106" s="226" t="s">
        <v>119</v>
      </c>
      <c r="J106" s="226" t="s">
        <v>85</v>
      </c>
      <c r="K106" s="227">
        <v>13.5</v>
      </c>
      <c r="L106" s="227">
        <v>19</v>
      </c>
      <c r="M106" s="227">
        <v>22</v>
      </c>
      <c r="N106" s="227">
        <v>14</v>
      </c>
      <c r="O106" s="227">
        <f t="shared" si="3"/>
        <v>68.5</v>
      </c>
      <c r="P106" s="227"/>
    </row>
    <row r="107" spans="1:16">
      <c r="A107" s="226">
        <v>106</v>
      </c>
      <c r="B107" s="226" t="s">
        <v>246</v>
      </c>
      <c r="C107" s="226"/>
      <c r="D107" s="226" t="s">
        <v>168</v>
      </c>
      <c r="E107" s="226" t="s">
        <v>79</v>
      </c>
      <c r="F107" s="226"/>
      <c r="G107" s="226" t="s">
        <v>95</v>
      </c>
      <c r="H107" s="226" t="s">
        <v>52</v>
      </c>
      <c r="I107" s="226" t="s">
        <v>247</v>
      </c>
      <c r="J107" s="226" t="s">
        <v>93</v>
      </c>
      <c r="K107" s="227">
        <v>12</v>
      </c>
      <c r="L107" s="227">
        <v>19</v>
      </c>
      <c r="M107" s="227">
        <v>22</v>
      </c>
      <c r="N107" s="227">
        <v>15</v>
      </c>
      <c r="O107" s="227">
        <f t="shared" si="3"/>
        <v>68</v>
      </c>
      <c r="P107" s="227"/>
    </row>
    <row r="108" spans="1:16">
      <c r="A108" s="226">
        <v>107</v>
      </c>
      <c r="B108" s="226" t="s">
        <v>267</v>
      </c>
      <c r="C108" s="226"/>
      <c r="D108" s="226" t="s">
        <v>168</v>
      </c>
      <c r="E108" s="226" t="s">
        <v>79</v>
      </c>
      <c r="F108" s="226"/>
      <c r="G108" s="226" t="s">
        <v>25</v>
      </c>
      <c r="H108" s="226" t="s">
        <v>27</v>
      </c>
      <c r="I108" s="226" t="s">
        <v>86</v>
      </c>
      <c r="J108" s="226" t="s">
        <v>93</v>
      </c>
      <c r="K108" s="227"/>
      <c r="L108" s="227">
        <v>22</v>
      </c>
      <c r="M108" s="227">
        <v>29</v>
      </c>
      <c r="N108" s="227">
        <v>15</v>
      </c>
      <c r="O108" s="227">
        <f t="shared" si="3"/>
        <v>66</v>
      </c>
      <c r="P108" s="227"/>
    </row>
    <row r="109" spans="1:16">
      <c r="A109" s="226">
        <v>108</v>
      </c>
      <c r="B109" s="226" t="s">
        <v>248</v>
      </c>
      <c r="C109" s="226"/>
      <c r="D109" s="226" t="s">
        <v>168</v>
      </c>
      <c r="E109" s="226" t="s">
        <v>79</v>
      </c>
      <c r="F109" s="226"/>
      <c r="G109" s="226" t="s">
        <v>95</v>
      </c>
      <c r="H109" s="226" t="s">
        <v>52</v>
      </c>
      <c r="I109" s="226" t="s">
        <v>96</v>
      </c>
      <c r="J109" s="226" t="s">
        <v>93</v>
      </c>
      <c r="K109" s="227">
        <v>11.5</v>
      </c>
      <c r="L109" s="227">
        <v>19</v>
      </c>
      <c r="M109" s="227">
        <v>20</v>
      </c>
      <c r="N109" s="227">
        <v>15</v>
      </c>
      <c r="O109" s="227">
        <f t="shared" si="3"/>
        <v>65.5</v>
      </c>
      <c r="P109" s="227"/>
    </row>
    <row r="110" spans="1:16">
      <c r="A110" s="226">
        <v>109</v>
      </c>
      <c r="B110" s="226" t="s">
        <v>173</v>
      </c>
      <c r="C110" s="226"/>
      <c r="D110" s="226" t="s">
        <v>168</v>
      </c>
      <c r="E110" s="226" t="s">
        <v>79</v>
      </c>
      <c r="F110" s="226"/>
      <c r="G110" s="226" t="s">
        <v>25</v>
      </c>
      <c r="H110" s="226" t="s">
        <v>80</v>
      </c>
      <c r="I110" s="226"/>
      <c r="J110" s="226" t="s">
        <v>85</v>
      </c>
      <c r="K110" s="226">
        <v>13</v>
      </c>
      <c r="L110" s="226">
        <v>20</v>
      </c>
      <c r="M110" s="227">
        <v>20</v>
      </c>
      <c r="N110" s="227">
        <v>12</v>
      </c>
      <c r="O110" s="227">
        <f t="shared" si="3"/>
        <v>65</v>
      </c>
      <c r="P110" s="227"/>
    </row>
    <row r="111" spans="1:16">
      <c r="A111" s="226">
        <v>110</v>
      </c>
      <c r="B111" s="226" t="s">
        <v>187</v>
      </c>
      <c r="C111" s="226"/>
      <c r="D111" s="226" t="s">
        <v>168</v>
      </c>
      <c r="E111" s="226" t="s">
        <v>103</v>
      </c>
      <c r="F111" s="226"/>
      <c r="G111" s="226" t="s">
        <v>104</v>
      </c>
      <c r="H111" s="226" t="s">
        <v>115</v>
      </c>
      <c r="I111" s="226" t="s">
        <v>81</v>
      </c>
      <c r="J111" s="226" t="s">
        <v>188</v>
      </c>
      <c r="K111" s="227"/>
      <c r="L111" s="226">
        <v>19</v>
      </c>
      <c r="M111" s="227">
        <v>27</v>
      </c>
      <c r="N111" s="227">
        <v>15</v>
      </c>
      <c r="O111" s="227">
        <f t="shared" si="3"/>
        <v>61</v>
      </c>
      <c r="P111" s="227"/>
    </row>
    <row r="112" spans="1:16">
      <c r="A112" s="226">
        <v>111</v>
      </c>
      <c r="B112" s="226" t="s">
        <v>189</v>
      </c>
      <c r="C112" s="226"/>
      <c r="D112" s="226" t="s">
        <v>190</v>
      </c>
      <c r="E112" s="226" t="s">
        <v>103</v>
      </c>
      <c r="F112" s="226"/>
      <c r="G112" s="226" t="s">
        <v>104</v>
      </c>
      <c r="H112" s="226" t="s">
        <v>115</v>
      </c>
      <c r="I112" s="226" t="s">
        <v>83</v>
      </c>
      <c r="J112" s="226" t="s">
        <v>93</v>
      </c>
      <c r="K112" s="227"/>
      <c r="L112" s="226">
        <v>20.75</v>
      </c>
      <c r="M112" s="227">
        <v>24</v>
      </c>
      <c r="N112" s="227">
        <v>14</v>
      </c>
      <c r="O112" s="227">
        <f t="shared" si="3"/>
        <v>58.75</v>
      </c>
      <c r="P112" s="227"/>
    </row>
    <row r="113" spans="1:16">
      <c r="A113" s="226">
        <v>112</v>
      </c>
      <c r="B113" s="226" t="s">
        <v>172</v>
      </c>
      <c r="C113" s="226"/>
      <c r="D113" s="226" t="s">
        <v>168</v>
      </c>
      <c r="E113" s="226" t="s">
        <v>79</v>
      </c>
      <c r="F113" s="226"/>
      <c r="G113" s="226" t="s">
        <v>25</v>
      </c>
      <c r="H113" s="226" t="s">
        <v>80</v>
      </c>
      <c r="I113" s="226" t="s">
        <v>83</v>
      </c>
      <c r="J113" s="226" t="s">
        <v>85</v>
      </c>
      <c r="K113" s="227">
        <v>12</v>
      </c>
      <c r="L113" s="226">
        <v>17</v>
      </c>
      <c r="M113" s="227">
        <v>15</v>
      </c>
      <c r="N113" s="227">
        <v>13</v>
      </c>
      <c r="O113" s="227">
        <f t="shared" si="3"/>
        <v>57</v>
      </c>
      <c r="P113" s="227"/>
    </row>
    <row r="114" spans="1:16">
      <c r="A114" s="226">
        <v>113</v>
      </c>
      <c r="B114" s="226" t="s">
        <v>208</v>
      </c>
      <c r="C114" s="226"/>
      <c r="D114" s="226" t="s">
        <v>168</v>
      </c>
      <c r="E114" s="226" t="s">
        <v>79</v>
      </c>
      <c r="F114" s="226"/>
      <c r="G114" s="226" t="s">
        <v>25</v>
      </c>
      <c r="H114" s="226" t="s">
        <v>124</v>
      </c>
      <c r="I114" s="226" t="s">
        <v>83</v>
      </c>
      <c r="J114" s="226" t="s">
        <v>85</v>
      </c>
      <c r="K114" s="227"/>
      <c r="L114" s="226"/>
      <c r="M114" s="227"/>
      <c r="N114" s="227"/>
      <c r="O114" s="227">
        <f t="shared" si="3"/>
        <v>0</v>
      </c>
      <c r="P114" s="227" t="s">
        <v>1276</v>
      </c>
    </row>
    <row r="115" spans="1:16">
      <c r="A115" s="226">
        <v>114</v>
      </c>
      <c r="B115" s="226" t="s">
        <v>237</v>
      </c>
      <c r="C115" s="226"/>
      <c r="D115" s="226" t="s">
        <v>168</v>
      </c>
      <c r="E115" s="226" t="s">
        <v>79</v>
      </c>
      <c r="F115" s="226"/>
      <c r="G115" s="226" t="s">
        <v>25</v>
      </c>
      <c r="H115" s="226" t="s">
        <v>62</v>
      </c>
      <c r="I115" s="226"/>
      <c r="J115" s="226" t="s">
        <v>82</v>
      </c>
      <c r="K115" s="227"/>
      <c r="L115" s="227"/>
      <c r="M115" s="227"/>
      <c r="N115" s="227"/>
      <c r="O115" s="227">
        <f t="shared" si="3"/>
        <v>0</v>
      </c>
      <c r="P115" s="227" t="s">
        <v>1276</v>
      </c>
    </row>
    <row r="116" spans="1:16">
      <c r="A116" s="226">
        <v>115</v>
      </c>
      <c r="B116" s="226" t="s">
        <v>238</v>
      </c>
      <c r="C116" s="226"/>
      <c r="D116" s="226" t="s">
        <v>168</v>
      </c>
      <c r="E116" s="226" t="s">
        <v>79</v>
      </c>
      <c r="F116" s="226"/>
      <c r="G116" s="226" t="s">
        <v>25</v>
      </c>
      <c r="H116" s="226" t="s">
        <v>62</v>
      </c>
      <c r="I116" s="226"/>
      <c r="J116" s="226" t="s">
        <v>82</v>
      </c>
      <c r="K116" s="227"/>
      <c r="L116" s="227"/>
      <c r="M116" s="227"/>
      <c r="N116" s="227"/>
      <c r="O116" s="227">
        <f t="shared" si="3"/>
        <v>0</v>
      </c>
      <c r="P116" s="227" t="s">
        <v>1276</v>
      </c>
    </row>
    <row r="117" spans="1:16">
      <c r="A117" s="229"/>
      <c r="B117" s="229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</row>
  </sheetData>
  <sortState ref="A2:Q116">
    <sortCondition ref="Q2:Q116"/>
    <sortCondition descending="1" ref="O2:O116"/>
  </sortState>
  <conditionalFormatting sqref="B49">
    <cfRule type="duplicateValues" dxfId="28" priority="5"/>
    <cfRule type="duplicateValues" dxfId="27" priority="6"/>
    <cfRule type="duplicateValues" dxfId="26" priority="7"/>
    <cfRule type="duplicateValues" dxfId="25" priority="8"/>
  </conditionalFormatting>
  <conditionalFormatting sqref="B97">
    <cfRule type="duplicateValues" dxfId="24" priority="1"/>
    <cfRule type="duplicateValues" dxfId="23" priority="2"/>
    <cfRule type="duplicateValues" dxfId="22" priority="3"/>
    <cfRule type="duplicateValues" dxfId="21" priority="4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65"/>
  <sheetViews>
    <sheetView rightToLeft="1" topLeftCell="A44" workbookViewId="0">
      <selection activeCell="E58" sqref="E2:E58"/>
    </sheetView>
  </sheetViews>
  <sheetFormatPr defaultColWidth="9.125" defaultRowHeight="21"/>
  <cols>
    <col min="1" max="1" width="5.125" style="3" bestFit="1" customWidth="1"/>
    <col min="2" max="2" width="6.875" style="3" customWidth="1"/>
    <col min="3" max="3" width="25.25" style="3" customWidth="1"/>
    <col min="4" max="4" width="25.75" style="3" bestFit="1" customWidth="1"/>
    <col min="5" max="5" width="14.25" style="3" bestFit="1" customWidth="1"/>
    <col min="6" max="6" width="6" style="3" bestFit="1" customWidth="1"/>
    <col min="7" max="7" width="8" style="3" bestFit="1" customWidth="1"/>
    <col min="8" max="8" width="14.25" style="3" bestFit="1" customWidth="1"/>
    <col min="9" max="9" width="12.875" style="3" bestFit="1" customWidth="1"/>
    <col min="10" max="10" width="10.25" style="3" bestFit="1" customWidth="1"/>
    <col min="11" max="19" width="9.75" style="3" customWidth="1"/>
    <col min="20" max="20" width="17.375" style="3" bestFit="1" customWidth="1"/>
    <col min="21" max="21" width="33.375" style="185" bestFit="1" customWidth="1"/>
    <col min="22" max="16384" width="9.125" style="185"/>
  </cols>
  <sheetData>
    <row r="1" spans="1:20" ht="63">
      <c r="A1" s="80" t="s">
        <v>0</v>
      </c>
      <c r="B1" s="5" t="s">
        <v>4</v>
      </c>
      <c r="C1" s="5" t="s">
        <v>17</v>
      </c>
      <c r="D1" s="182" t="s">
        <v>1</v>
      </c>
      <c r="E1" s="182" t="s">
        <v>50</v>
      </c>
      <c r="F1" s="116" t="s">
        <v>16</v>
      </c>
      <c r="G1" s="116" t="s">
        <v>15</v>
      </c>
      <c r="H1" s="182" t="s">
        <v>2</v>
      </c>
      <c r="I1" s="183" t="s">
        <v>14</v>
      </c>
      <c r="J1" s="116" t="s">
        <v>45</v>
      </c>
      <c r="K1" s="184" t="s">
        <v>9</v>
      </c>
      <c r="L1" s="116" t="s">
        <v>8</v>
      </c>
      <c r="M1" s="116" t="s">
        <v>7</v>
      </c>
      <c r="N1" s="184" t="s">
        <v>6</v>
      </c>
      <c r="O1" s="184" t="s">
        <v>46</v>
      </c>
      <c r="P1" s="116" t="s">
        <v>47</v>
      </c>
      <c r="Q1" s="184" t="s">
        <v>48</v>
      </c>
      <c r="R1" s="184" t="s">
        <v>1217</v>
      </c>
      <c r="S1" s="184" t="s">
        <v>49</v>
      </c>
      <c r="T1" s="116" t="s">
        <v>18</v>
      </c>
    </row>
    <row r="2" spans="1:20" ht="20.100000000000001" customHeight="1">
      <c r="A2" s="21">
        <v>1</v>
      </c>
      <c r="B2" s="186"/>
      <c r="C2" s="13" t="s">
        <v>120</v>
      </c>
      <c r="D2" s="13" t="s">
        <v>1018</v>
      </c>
      <c r="E2" s="13"/>
      <c r="F2" s="13" t="s">
        <v>168</v>
      </c>
      <c r="G2" s="13" t="s">
        <v>79</v>
      </c>
      <c r="H2" s="13"/>
      <c r="I2" s="13" t="s">
        <v>24</v>
      </c>
      <c r="J2" s="14">
        <v>97</v>
      </c>
      <c r="K2" s="14">
        <v>15</v>
      </c>
      <c r="L2" s="14">
        <v>26</v>
      </c>
      <c r="M2" s="14">
        <v>14.75</v>
      </c>
      <c r="N2" s="14">
        <v>22.25</v>
      </c>
      <c r="O2" s="14">
        <f>SUM(K2:N2)</f>
        <v>78</v>
      </c>
      <c r="P2" s="14">
        <f>SUM(J2:N2)</f>
        <v>175</v>
      </c>
      <c r="Q2" s="14">
        <f>70%*J2</f>
        <v>67.899999999999991</v>
      </c>
      <c r="R2" s="14">
        <f>30%*O2</f>
        <v>23.4</v>
      </c>
      <c r="S2" s="14">
        <f>Q2+R2</f>
        <v>91.299999999999983</v>
      </c>
      <c r="T2" s="14"/>
    </row>
    <row r="3" spans="1:20" ht="20.100000000000001" customHeight="1">
      <c r="A3" s="21">
        <v>2</v>
      </c>
      <c r="B3" s="186"/>
      <c r="C3" s="13" t="s">
        <v>63</v>
      </c>
      <c r="D3" s="13" t="s">
        <v>1025</v>
      </c>
      <c r="E3" s="13"/>
      <c r="F3" s="13" t="s">
        <v>168</v>
      </c>
      <c r="G3" s="13" t="s">
        <v>79</v>
      </c>
      <c r="H3" s="13"/>
      <c r="I3" s="13" t="s">
        <v>24</v>
      </c>
      <c r="J3" s="14">
        <v>89</v>
      </c>
      <c r="K3" s="14">
        <v>15</v>
      </c>
      <c r="L3" s="14">
        <v>23</v>
      </c>
      <c r="M3" s="14">
        <v>13</v>
      </c>
      <c r="N3" s="14">
        <v>20.5</v>
      </c>
      <c r="O3" s="14">
        <f>SUM(K3:N3)</f>
        <v>71.5</v>
      </c>
      <c r="P3" s="14">
        <f>SUM(J3:N3)</f>
        <v>160.5</v>
      </c>
      <c r="Q3" s="14">
        <f>70%*J3</f>
        <v>62.3</v>
      </c>
      <c r="R3" s="14">
        <f>30%*O3</f>
        <v>21.45</v>
      </c>
      <c r="S3" s="14">
        <f>Q3+R3</f>
        <v>83.75</v>
      </c>
      <c r="T3" s="14"/>
    </row>
    <row r="4" spans="1:20" ht="20.100000000000001" customHeight="1">
      <c r="A4" s="21">
        <v>3</v>
      </c>
      <c r="B4" s="186"/>
      <c r="C4" s="187" t="s">
        <v>127</v>
      </c>
      <c r="D4" s="187" t="s">
        <v>1051</v>
      </c>
      <c r="E4" s="187"/>
      <c r="F4" s="187" t="s">
        <v>168</v>
      </c>
      <c r="G4" s="187" t="s">
        <v>103</v>
      </c>
      <c r="H4" s="187"/>
      <c r="I4" s="187" t="s">
        <v>24</v>
      </c>
      <c r="J4" s="13">
        <v>80.5</v>
      </c>
      <c r="K4" s="14">
        <v>14</v>
      </c>
      <c r="L4" s="14">
        <v>22</v>
      </c>
      <c r="M4" s="14">
        <v>20</v>
      </c>
      <c r="N4" s="14">
        <v>12</v>
      </c>
      <c r="O4" s="14">
        <f>SUM(K4:N4)</f>
        <v>68</v>
      </c>
      <c r="P4" s="14">
        <f>68+80.5</f>
        <v>148.5</v>
      </c>
      <c r="Q4" s="14">
        <f>70%*J4</f>
        <v>56.349999999999994</v>
      </c>
      <c r="R4" s="14">
        <f>30%*O4</f>
        <v>20.399999999999999</v>
      </c>
      <c r="S4" s="14">
        <f>SUM(Q4:R4)</f>
        <v>76.75</v>
      </c>
      <c r="T4" s="14"/>
    </row>
    <row r="5" spans="1:20" ht="20.100000000000001" customHeight="1">
      <c r="A5" s="21">
        <v>4</v>
      </c>
      <c r="B5" s="186"/>
      <c r="C5" s="13" t="s">
        <v>69</v>
      </c>
      <c r="D5" s="13" t="s">
        <v>1020</v>
      </c>
      <c r="E5" s="13"/>
      <c r="F5" s="13" t="s">
        <v>168</v>
      </c>
      <c r="G5" s="13" t="s">
        <v>79</v>
      </c>
      <c r="H5" s="13"/>
      <c r="I5" s="13" t="s">
        <v>24</v>
      </c>
      <c r="J5" s="14">
        <v>77.5</v>
      </c>
      <c r="K5" s="14">
        <v>13</v>
      </c>
      <c r="L5" s="14">
        <v>24</v>
      </c>
      <c r="M5" s="14">
        <v>13</v>
      </c>
      <c r="N5" s="14">
        <v>21</v>
      </c>
      <c r="O5" s="14">
        <f>SUM(K5:N5)</f>
        <v>71</v>
      </c>
      <c r="P5" s="14">
        <f>SUM(J5:N5)</f>
        <v>148.5</v>
      </c>
      <c r="Q5" s="14">
        <f>70%*J5</f>
        <v>54.25</v>
      </c>
      <c r="R5" s="14">
        <f>30%*O5</f>
        <v>21.3</v>
      </c>
      <c r="S5" s="14">
        <f>Q5+R5</f>
        <v>75.55</v>
      </c>
      <c r="T5" s="14"/>
    </row>
    <row r="6" spans="1:20" ht="20.100000000000001" customHeight="1">
      <c r="A6" s="21">
        <v>5</v>
      </c>
      <c r="B6" s="186"/>
      <c r="C6" s="187" t="s">
        <v>127</v>
      </c>
      <c r="D6" s="187" t="s">
        <v>1052</v>
      </c>
      <c r="E6" s="187"/>
      <c r="F6" s="187" t="s">
        <v>168</v>
      </c>
      <c r="G6" s="187" t="s">
        <v>103</v>
      </c>
      <c r="H6" s="187"/>
      <c r="I6" s="187" t="s">
        <v>24</v>
      </c>
      <c r="J6" s="13"/>
      <c r="K6" s="14"/>
      <c r="L6" s="14"/>
      <c r="M6" s="14"/>
      <c r="N6" s="14"/>
      <c r="O6" s="14"/>
      <c r="P6" s="14"/>
      <c r="Q6" s="14"/>
      <c r="R6" s="14"/>
      <c r="S6" s="14"/>
      <c r="T6" s="14" t="s">
        <v>1277</v>
      </c>
    </row>
    <row r="7" spans="1:20" ht="20.100000000000001" customHeight="1">
      <c r="A7" s="21">
        <v>6</v>
      </c>
      <c r="B7" s="186"/>
      <c r="C7" s="18" t="s">
        <v>53</v>
      </c>
      <c r="D7" s="18" t="s">
        <v>1043</v>
      </c>
      <c r="E7" s="18"/>
      <c r="F7" s="18" t="s">
        <v>168</v>
      </c>
      <c r="G7" s="18" t="s">
        <v>79</v>
      </c>
      <c r="H7" s="18"/>
      <c r="I7" s="18" t="s">
        <v>26</v>
      </c>
      <c r="J7" s="82">
        <v>100</v>
      </c>
      <c r="K7" s="82">
        <v>25</v>
      </c>
      <c r="L7" s="82">
        <v>29</v>
      </c>
      <c r="M7" s="82">
        <v>14.5</v>
      </c>
      <c r="N7" s="82">
        <v>22</v>
      </c>
      <c r="O7" s="82">
        <f t="shared" ref="O7:O18" si="0">SUM(K7:N7)</f>
        <v>90.5</v>
      </c>
      <c r="P7" s="82">
        <f t="shared" ref="P7:P18" si="1">SUM(J7:N7)</f>
        <v>190.5</v>
      </c>
      <c r="Q7" s="82">
        <f t="shared" ref="Q7:Q18" si="2">70%*J7</f>
        <v>70</v>
      </c>
      <c r="R7" s="82">
        <f t="shared" ref="R7:R18" si="3">30%*O7</f>
        <v>27.15</v>
      </c>
      <c r="S7" s="82">
        <f t="shared" ref="S7:S18" si="4">Q7+R7</f>
        <v>97.15</v>
      </c>
      <c r="T7" s="82"/>
    </row>
    <row r="8" spans="1:20" ht="20.100000000000001" customHeight="1">
      <c r="A8" s="21">
        <v>7</v>
      </c>
      <c r="B8" s="186"/>
      <c r="C8" s="18" t="s">
        <v>75</v>
      </c>
      <c r="D8" s="18" t="s">
        <v>1056</v>
      </c>
      <c r="E8" s="32"/>
      <c r="F8" s="18" t="s">
        <v>168</v>
      </c>
      <c r="G8" s="18" t="s">
        <v>79</v>
      </c>
      <c r="H8" s="32"/>
      <c r="I8" s="18" t="s">
        <v>26</v>
      </c>
      <c r="J8" s="82">
        <v>100</v>
      </c>
      <c r="K8" s="82">
        <v>15</v>
      </c>
      <c r="L8" s="82">
        <v>30</v>
      </c>
      <c r="M8" s="82">
        <v>15.75</v>
      </c>
      <c r="N8" s="82">
        <v>24</v>
      </c>
      <c r="O8" s="82">
        <f t="shared" si="0"/>
        <v>84.75</v>
      </c>
      <c r="P8" s="82">
        <f t="shared" si="1"/>
        <v>184.75</v>
      </c>
      <c r="Q8" s="82">
        <f t="shared" si="2"/>
        <v>70</v>
      </c>
      <c r="R8" s="82">
        <f t="shared" si="3"/>
        <v>25.425000000000001</v>
      </c>
      <c r="S8" s="82">
        <f t="shared" si="4"/>
        <v>95.424999999999997</v>
      </c>
      <c r="T8" s="18"/>
    </row>
    <row r="9" spans="1:20" ht="20.100000000000001" customHeight="1">
      <c r="A9" s="21">
        <v>8</v>
      </c>
      <c r="B9" s="186"/>
      <c r="C9" s="18" t="s">
        <v>61</v>
      </c>
      <c r="D9" s="18" t="s">
        <v>1026</v>
      </c>
      <c r="E9" s="18"/>
      <c r="F9" s="18" t="s">
        <v>168</v>
      </c>
      <c r="G9" s="18" t="s">
        <v>79</v>
      </c>
      <c r="H9" s="18"/>
      <c r="I9" s="18" t="s">
        <v>26</v>
      </c>
      <c r="J9" s="82">
        <v>99</v>
      </c>
      <c r="K9" s="82">
        <v>15</v>
      </c>
      <c r="L9" s="82">
        <v>30</v>
      </c>
      <c r="M9" s="82">
        <v>14.5</v>
      </c>
      <c r="N9" s="82">
        <v>23</v>
      </c>
      <c r="O9" s="82">
        <f t="shared" si="0"/>
        <v>82.5</v>
      </c>
      <c r="P9" s="82">
        <f t="shared" si="1"/>
        <v>181.5</v>
      </c>
      <c r="Q9" s="82">
        <f t="shared" si="2"/>
        <v>69.3</v>
      </c>
      <c r="R9" s="82">
        <f t="shared" si="3"/>
        <v>24.75</v>
      </c>
      <c r="S9" s="82">
        <f t="shared" si="4"/>
        <v>94.05</v>
      </c>
      <c r="T9" s="82"/>
    </row>
    <row r="10" spans="1:20" ht="20.100000000000001" customHeight="1">
      <c r="A10" s="21">
        <v>9</v>
      </c>
      <c r="B10" s="186"/>
      <c r="C10" s="18" t="s">
        <v>54</v>
      </c>
      <c r="D10" s="18" t="s">
        <v>1038</v>
      </c>
      <c r="E10" s="18"/>
      <c r="F10" s="18" t="s">
        <v>168</v>
      </c>
      <c r="G10" s="18" t="s">
        <v>79</v>
      </c>
      <c r="H10" s="18"/>
      <c r="I10" s="18" t="s">
        <v>26</v>
      </c>
      <c r="J10" s="82">
        <v>98</v>
      </c>
      <c r="K10" s="82">
        <v>15</v>
      </c>
      <c r="L10" s="82">
        <v>29</v>
      </c>
      <c r="M10" s="82">
        <v>15.75</v>
      </c>
      <c r="N10" s="82">
        <v>24.25</v>
      </c>
      <c r="O10" s="82">
        <f t="shared" si="0"/>
        <v>84</v>
      </c>
      <c r="P10" s="82">
        <f t="shared" si="1"/>
        <v>182</v>
      </c>
      <c r="Q10" s="82">
        <f t="shared" si="2"/>
        <v>68.599999999999994</v>
      </c>
      <c r="R10" s="82">
        <f t="shared" si="3"/>
        <v>25.2</v>
      </c>
      <c r="S10" s="82">
        <f t="shared" si="4"/>
        <v>93.8</v>
      </c>
      <c r="T10" s="82"/>
    </row>
    <row r="11" spans="1:20" ht="20.100000000000001" customHeight="1">
      <c r="A11" s="21">
        <v>10</v>
      </c>
      <c r="B11" s="186"/>
      <c r="C11" s="18" t="s">
        <v>65</v>
      </c>
      <c r="D11" s="18" t="s">
        <v>1022</v>
      </c>
      <c r="E11" s="18"/>
      <c r="F11" s="18" t="s">
        <v>168</v>
      </c>
      <c r="G11" s="18" t="s">
        <v>79</v>
      </c>
      <c r="H11" s="18"/>
      <c r="I11" s="18" t="s">
        <v>26</v>
      </c>
      <c r="J11" s="82">
        <v>99.5</v>
      </c>
      <c r="K11" s="82">
        <v>15</v>
      </c>
      <c r="L11" s="82">
        <v>27</v>
      </c>
      <c r="M11" s="82">
        <v>15</v>
      </c>
      <c r="N11" s="82">
        <v>23.5</v>
      </c>
      <c r="O11" s="82">
        <f t="shared" si="0"/>
        <v>80.5</v>
      </c>
      <c r="P11" s="82">
        <f t="shared" si="1"/>
        <v>180</v>
      </c>
      <c r="Q11" s="82">
        <f t="shared" si="2"/>
        <v>69.649999999999991</v>
      </c>
      <c r="R11" s="82">
        <f t="shared" si="3"/>
        <v>24.15</v>
      </c>
      <c r="S11" s="82">
        <f t="shared" si="4"/>
        <v>93.799999999999983</v>
      </c>
      <c r="T11" s="82"/>
    </row>
    <row r="12" spans="1:20" ht="20.100000000000001" customHeight="1">
      <c r="A12" s="21">
        <v>11</v>
      </c>
      <c r="B12" s="186"/>
      <c r="C12" s="188" t="s">
        <v>127</v>
      </c>
      <c r="D12" s="189" t="s">
        <v>1048</v>
      </c>
      <c r="E12" s="188"/>
      <c r="F12" s="188" t="s">
        <v>168</v>
      </c>
      <c r="G12" s="188" t="s">
        <v>103</v>
      </c>
      <c r="H12" s="188"/>
      <c r="I12" s="188" t="s">
        <v>26</v>
      </c>
      <c r="J12" s="82">
        <v>100</v>
      </c>
      <c r="K12" s="82">
        <v>12.5</v>
      </c>
      <c r="L12" s="82">
        <v>27</v>
      </c>
      <c r="M12" s="82">
        <v>15</v>
      </c>
      <c r="N12" s="82">
        <v>23</v>
      </c>
      <c r="O12" s="82">
        <f t="shared" si="0"/>
        <v>77.5</v>
      </c>
      <c r="P12" s="82">
        <f t="shared" si="1"/>
        <v>177.5</v>
      </c>
      <c r="Q12" s="82">
        <f t="shared" si="2"/>
        <v>70</v>
      </c>
      <c r="R12" s="82">
        <f t="shared" si="3"/>
        <v>23.25</v>
      </c>
      <c r="S12" s="82">
        <f t="shared" si="4"/>
        <v>93.25</v>
      </c>
      <c r="T12" s="82"/>
    </row>
    <row r="13" spans="1:20" ht="20.100000000000001" customHeight="1">
      <c r="A13" s="21">
        <v>12</v>
      </c>
      <c r="B13" s="186"/>
      <c r="C13" s="18" t="s">
        <v>54</v>
      </c>
      <c r="D13" s="18" t="s">
        <v>1037</v>
      </c>
      <c r="E13" s="18"/>
      <c r="F13" s="18" t="s">
        <v>168</v>
      </c>
      <c r="G13" s="18" t="s">
        <v>79</v>
      </c>
      <c r="H13" s="18"/>
      <c r="I13" s="18" t="s">
        <v>26</v>
      </c>
      <c r="J13" s="82">
        <v>100</v>
      </c>
      <c r="K13" s="82">
        <v>15</v>
      </c>
      <c r="L13" s="82">
        <v>26</v>
      </c>
      <c r="M13" s="82">
        <v>14</v>
      </c>
      <c r="N13" s="82">
        <v>21</v>
      </c>
      <c r="O13" s="82">
        <f t="shared" si="0"/>
        <v>76</v>
      </c>
      <c r="P13" s="82">
        <f t="shared" si="1"/>
        <v>176</v>
      </c>
      <c r="Q13" s="82">
        <f t="shared" si="2"/>
        <v>70</v>
      </c>
      <c r="R13" s="82">
        <f t="shared" si="3"/>
        <v>22.8</v>
      </c>
      <c r="S13" s="82">
        <f t="shared" si="4"/>
        <v>92.8</v>
      </c>
      <c r="T13" s="82"/>
    </row>
    <row r="14" spans="1:20" ht="20.100000000000001" customHeight="1">
      <c r="A14" s="21">
        <v>13</v>
      </c>
      <c r="B14" s="186"/>
      <c r="C14" s="18" t="s">
        <v>280</v>
      </c>
      <c r="D14" s="18" t="s">
        <v>1044</v>
      </c>
      <c r="E14" s="32"/>
      <c r="F14" s="18" t="s">
        <v>168</v>
      </c>
      <c r="G14" s="18" t="s">
        <v>79</v>
      </c>
      <c r="H14" s="32"/>
      <c r="I14" s="18" t="s">
        <v>26</v>
      </c>
      <c r="J14" s="82">
        <v>98.5</v>
      </c>
      <c r="K14" s="82">
        <v>15</v>
      </c>
      <c r="L14" s="82">
        <v>28</v>
      </c>
      <c r="M14" s="82">
        <v>14</v>
      </c>
      <c r="N14" s="82">
        <v>21</v>
      </c>
      <c r="O14" s="82">
        <f t="shared" si="0"/>
        <v>78</v>
      </c>
      <c r="P14" s="82">
        <f t="shared" si="1"/>
        <v>176.5</v>
      </c>
      <c r="Q14" s="82">
        <f t="shared" si="2"/>
        <v>68.949999999999989</v>
      </c>
      <c r="R14" s="82">
        <f t="shared" si="3"/>
        <v>23.4</v>
      </c>
      <c r="S14" s="82">
        <f t="shared" si="4"/>
        <v>92.35</v>
      </c>
      <c r="T14" s="82"/>
    </row>
    <row r="15" spans="1:20" ht="20.100000000000001" customHeight="1">
      <c r="A15" s="21">
        <v>14</v>
      </c>
      <c r="B15" s="186"/>
      <c r="C15" s="18" t="s">
        <v>58</v>
      </c>
      <c r="D15" s="18" t="s">
        <v>582</v>
      </c>
      <c r="E15" s="18"/>
      <c r="F15" s="18" t="s">
        <v>168</v>
      </c>
      <c r="G15" s="18" t="s">
        <v>79</v>
      </c>
      <c r="H15" s="18"/>
      <c r="I15" s="18" t="s">
        <v>26</v>
      </c>
      <c r="J15" s="82">
        <v>99</v>
      </c>
      <c r="K15" s="82">
        <v>15</v>
      </c>
      <c r="L15" s="82">
        <v>25</v>
      </c>
      <c r="M15" s="82">
        <v>14</v>
      </c>
      <c r="N15" s="82">
        <v>21</v>
      </c>
      <c r="O15" s="82">
        <f t="shared" si="0"/>
        <v>75</v>
      </c>
      <c r="P15" s="82">
        <f t="shared" si="1"/>
        <v>174</v>
      </c>
      <c r="Q15" s="82">
        <f t="shared" si="2"/>
        <v>69.3</v>
      </c>
      <c r="R15" s="82">
        <f t="shared" si="3"/>
        <v>22.5</v>
      </c>
      <c r="S15" s="82">
        <f t="shared" si="4"/>
        <v>91.8</v>
      </c>
      <c r="T15" s="82"/>
    </row>
    <row r="16" spans="1:20" ht="20.100000000000001" customHeight="1">
      <c r="A16" s="21">
        <v>15</v>
      </c>
      <c r="B16" s="186"/>
      <c r="C16" s="18" t="s">
        <v>54</v>
      </c>
      <c r="D16" s="18" t="s">
        <v>1037</v>
      </c>
      <c r="E16" s="18"/>
      <c r="F16" s="18" t="s">
        <v>168</v>
      </c>
      <c r="G16" s="18" t="s">
        <v>79</v>
      </c>
      <c r="H16" s="18"/>
      <c r="I16" s="18" t="s">
        <v>26</v>
      </c>
      <c r="J16" s="82">
        <v>94</v>
      </c>
      <c r="K16" s="82">
        <v>13.5</v>
      </c>
      <c r="L16" s="82">
        <v>30</v>
      </c>
      <c r="M16" s="82">
        <v>16.5</v>
      </c>
      <c r="N16" s="82">
        <v>25.5</v>
      </c>
      <c r="O16" s="82">
        <f t="shared" si="0"/>
        <v>85.5</v>
      </c>
      <c r="P16" s="82">
        <f t="shared" si="1"/>
        <v>179.5</v>
      </c>
      <c r="Q16" s="82">
        <f t="shared" si="2"/>
        <v>65.8</v>
      </c>
      <c r="R16" s="82">
        <f t="shared" si="3"/>
        <v>25.65</v>
      </c>
      <c r="S16" s="82">
        <f t="shared" si="4"/>
        <v>91.449999999999989</v>
      </c>
      <c r="T16" s="82"/>
    </row>
    <row r="17" spans="1:20" ht="20.100000000000001" customHeight="1">
      <c r="A17" s="21">
        <v>16</v>
      </c>
      <c r="B17" s="186"/>
      <c r="C17" s="18" t="s">
        <v>159</v>
      </c>
      <c r="D17" s="18" t="s">
        <v>1040</v>
      </c>
      <c r="E17" s="18"/>
      <c r="F17" s="18" t="s">
        <v>168</v>
      </c>
      <c r="G17" s="18" t="s">
        <v>79</v>
      </c>
      <c r="H17" s="18"/>
      <c r="I17" s="18" t="s">
        <v>26</v>
      </c>
      <c r="J17" s="82">
        <v>100</v>
      </c>
      <c r="K17" s="82">
        <v>14.5</v>
      </c>
      <c r="L17" s="82">
        <v>22</v>
      </c>
      <c r="M17" s="82">
        <v>13</v>
      </c>
      <c r="N17" s="82">
        <v>20.75</v>
      </c>
      <c r="O17" s="82">
        <f t="shared" si="0"/>
        <v>70.25</v>
      </c>
      <c r="P17" s="82">
        <f t="shared" si="1"/>
        <v>170.25</v>
      </c>
      <c r="Q17" s="82">
        <f t="shared" si="2"/>
        <v>70</v>
      </c>
      <c r="R17" s="82">
        <f t="shared" si="3"/>
        <v>21.074999999999999</v>
      </c>
      <c r="S17" s="82">
        <f t="shared" si="4"/>
        <v>91.075000000000003</v>
      </c>
      <c r="T17" s="82"/>
    </row>
    <row r="18" spans="1:20" ht="20.100000000000001" customHeight="1">
      <c r="A18" s="21">
        <v>17</v>
      </c>
      <c r="B18" s="186"/>
      <c r="C18" s="18" t="s">
        <v>69</v>
      </c>
      <c r="D18" s="18" t="s">
        <v>1019</v>
      </c>
      <c r="E18" s="18"/>
      <c r="F18" s="18" t="s">
        <v>168</v>
      </c>
      <c r="G18" s="18" t="s">
        <v>79</v>
      </c>
      <c r="H18" s="18"/>
      <c r="I18" s="18" t="s">
        <v>26</v>
      </c>
      <c r="J18" s="82">
        <v>96.5</v>
      </c>
      <c r="K18" s="82">
        <v>15</v>
      </c>
      <c r="L18" s="82">
        <v>26</v>
      </c>
      <c r="M18" s="82">
        <v>14.25</v>
      </c>
      <c r="N18" s="82">
        <v>22.75</v>
      </c>
      <c r="O18" s="82">
        <f t="shared" si="0"/>
        <v>78</v>
      </c>
      <c r="P18" s="82">
        <f t="shared" si="1"/>
        <v>174.5</v>
      </c>
      <c r="Q18" s="82">
        <f t="shared" si="2"/>
        <v>67.55</v>
      </c>
      <c r="R18" s="82">
        <f t="shared" si="3"/>
        <v>23.4</v>
      </c>
      <c r="S18" s="82">
        <f t="shared" si="4"/>
        <v>90.949999999999989</v>
      </c>
      <c r="T18" s="82"/>
    </row>
    <row r="19" spans="1:20" ht="20.100000000000001" customHeight="1">
      <c r="A19" s="21">
        <v>18</v>
      </c>
      <c r="B19" s="186"/>
      <c r="C19" s="18" t="s">
        <v>58</v>
      </c>
      <c r="D19" s="18" t="s">
        <v>1033</v>
      </c>
      <c r="E19" s="18"/>
      <c r="F19" s="18" t="s">
        <v>168</v>
      </c>
      <c r="G19" s="18" t="s">
        <v>79</v>
      </c>
      <c r="H19" s="18"/>
      <c r="I19" s="18" t="s">
        <v>26</v>
      </c>
      <c r="J19" s="82">
        <v>94.5</v>
      </c>
      <c r="K19" s="82">
        <v>15</v>
      </c>
      <c r="L19" s="82">
        <v>28</v>
      </c>
      <c r="M19" s="82">
        <v>12</v>
      </c>
      <c r="N19" s="82">
        <v>21.5</v>
      </c>
      <c r="O19" s="82">
        <f t="shared" ref="O19:O27" si="5">SUM(K19:N19)</f>
        <v>76.5</v>
      </c>
      <c r="P19" s="82">
        <f t="shared" ref="P19:P27" si="6">SUM(J19:N19)</f>
        <v>171</v>
      </c>
      <c r="Q19" s="82">
        <f t="shared" ref="Q19:Q32" si="7">70%*J19</f>
        <v>66.149999999999991</v>
      </c>
      <c r="R19" s="82">
        <f t="shared" ref="R19:R32" si="8">30%*O19</f>
        <v>22.95</v>
      </c>
      <c r="S19" s="82">
        <f t="shared" ref="S19:S59" si="9">Q19+R19</f>
        <v>89.1</v>
      </c>
      <c r="T19" s="82"/>
    </row>
    <row r="20" spans="1:20" ht="20.100000000000001" customHeight="1">
      <c r="A20" s="21">
        <v>19</v>
      </c>
      <c r="B20" s="186"/>
      <c r="C20" s="18" t="s">
        <v>1236</v>
      </c>
      <c r="D20" s="83" t="s">
        <v>1202</v>
      </c>
      <c r="E20" s="18"/>
      <c r="F20" s="83"/>
      <c r="G20" s="83"/>
      <c r="H20" s="159"/>
      <c r="I20" s="83" t="s">
        <v>26</v>
      </c>
      <c r="J20" s="83">
        <v>93.5</v>
      </c>
      <c r="K20" s="83">
        <v>15</v>
      </c>
      <c r="L20" s="83">
        <v>27</v>
      </c>
      <c r="M20" s="83">
        <v>13.75</v>
      </c>
      <c r="N20" s="83">
        <v>21</v>
      </c>
      <c r="O20" s="83">
        <f t="shared" si="5"/>
        <v>76.75</v>
      </c>
      <c r="P20" s="83">
        <f t="shared" si="6"/>
        <v>170.25</v>
      </c>
      <c r="Q20" s="83">
        <f t="shared" si="7"/>
        <v>65.45</v>
      </c>
      <c r="R20" s="83">
        <f t="shared" si="8"/>
        <v>23.024999999999999</v>
      </c>
      <c r="S20" s="83">
        <f t="shared" si="9"/>
        <v>88.474999999999994</v>
      </c>
      <c r="T20" s="82"/>
    </row>
    <row r="21" spans="1:20" ht="20.100000000000001" customHeight="1">
      <c r="A21" s="21">
        <v>20</v>
      </c>
      <c r="B21" s="186"/>
      <c r="C21" s="18" t="s">
        <v>40</v>
      </c>
      <c r="D21" s="18" t="s">
        <v>1059</v>
      </c>
      <c r="E21" s="18"/>
      <c r="F21" s="18" t="s">
        <v>168</v>
      </c>
      <c r="G21" s="18" t="s">
        <v>79</v>
      </c>
      <c r="H21" s="190"/>
      <c r="I21" s="18" t="s">
        <v>26</v>
      </c>
      <c r="J21" s="82">
        <v>90.5</v>
      </c>
      <c r="K21" s="82">
        <v>15</v>
      </c>
      <c r="L21" s="82">
        <v>29</v>
      </c>
      <c r="M21" s="82">
        <v>15.75</v>
      </c>
      <c r="N21" s="82">
        <v>23.5</v>
      </c>
      <c r="O21" s="82">
        <f t="shared" si="5"/>
        <v>83.25</v>
      </c>
      <c r="P21" s="82">
        <f t="shared" si="6"/>
        <v>173.75</v>
      </c>
      <c r="Q21" s="82">
        <f t="shared" si="7"/>
        <v>63.349999999999994</v>
      </c>
      <c r="R21" s="82">
        <f t="shared" si="8"/>
        <v>24.974999999999998</v>
      </c>
      <c r="S21" s="82">
        <f t="shared" si="9"/>
        <v>88.324999999999989</v>
      </c>
      <c r="T21" s="83"/>
    </row>
    <row r="22" spans="1:20" ht="20.100000000000001" customHeight="1">
      <c r="A22" s="21">
        <v>21</v>
      </c>
      <c r="B22" s="186"/>
      <c r="C22" s="18" t="s">
        <v>280</v>
      </c>
      <c r="D22" s="34" t="s">
        <v>1045</v>
      </c>
      <c r="E22" s="32"/>
      <c r="F22" s="18" t="s">
        <v>168</v>
      </c>
      <c r="G22" s="18" t="s">
        <v>79</v>
      </c>
      <c r="H22" s="32"/>
      <c r="I22" s="18" t="s">
        <v>26</v>
      </c>
      <c r="J22" s="82">
        <v>92.5</v>
      </c>
      <c r="K22" s="82">
        <v>14.5</v>
      </c>
      <c r="L22" s="82">
        <v>26</v>
      </c>
      <c r="M22" s="82">
        <v>13</v>
      </c>
      <c r="N22" s="82">
        <v>20.5</v>
      </c>
      <c r="O22" s="82">
        <f t="shared" si="5"/>
        <v>74</v>
      </c>
      <c r="P22" s="82">
        <f t="shared" si="6"/>
        <v>166.5</v>
      </c>
      <c r="Q22" s="82">
        <f t="shared" si="7"/>
        <v>64.75</v>
      </c>
      <c r="R22" s="82">
        <f t="shared" si="8"/>
        <v>22.2</v>
      </c>
      <c r="S22" s="82">
        <f t="shared" si="9"/>
        <v>86.95</v>
      </c>
      <c r="T22" s="82"/>
    </row>
    <row r="23" spans="1:20" ht="20.100000000000001" customHeight="1">
      <c r="A23" s="21">
        <v>22</v>
      </c>
      <c r="B23" s="186"/>
      <c r="C23" s="82" t="s">
        <v>139</v>
      </c>
      <c r="D23" s="18" t="s">
        <v>1058</v>
      </c>
      <c r="E23" s="18"/>
      <c r="F23" s="18" t="s">
        <v>168</v>
      </c>
      <c r="G23" s="18" t="s">
        <v>79</v>
      </c>
      <c r="H23" s="18"/>
      <c r="I23" s="18" t="s">
        <v>26</v>
      </c>
      <c r="J23" s="82">
        <v>88</v>
      </c>
      <c r="K23" s="82">
        <v>15</v>
      </c>
      <c r="L23" s="82">
        <v>29</v>
      </c>
      <c r="M23" s="82">
        <v>16</v>
      </c>
      <c r="N23" s="82">
        <v>24</v>
      </c>
      <c r="O23" s="82">
        <f t="shared" si="5"/>
        <v>84</v>
      </c>
      <c r="P23" s="82">
        <f t="shared" si="6"/>
        <v>172</v>
      </c>
      <c r="Q23" s="82">
        <f t="shared" si="7"/>
        <v>61.599999999999994</v>
      </c>
      <c r="R23" s="82">
        <f t="shared" si="8"/>
        <v>25.2</v>
      </c>
      <c r="S23" s="82">
        <f t="shared" si="9"/>
        <v>86.8</v>
      </c>
      <c r="T23" s="18"/>
    </row>
    <row r="24" spans="1:20" ht="20.100000000000001" customHeight="1">
      <c r="A24" s="21">
        <v>23</v>
      </c>
      <c r="B24" s="186"/>
      <c r="C24" s="18" t="s">
        <v>113</v>
      </c>
      <c r="D24" s="18" t="s">
        <v>1015</v>
      </c>
      <c r="E24" s="18"/>
      <c r="F24" s="18" t="s">
        <v>168</v>
      </c>
      <c r="G24" s="18" t="s">
        <v>79</v>
      </c>
      <c r="H24" s="18"/>
      <c r="I24" s="18" t="s">
        <v>26</v>
      </c>
      <c r="J24" s="82">
        <v>89</v>
      </c>
      <c r="K24" s="82">
        <v>14</v>
      </c>
      <c r="L24" s="82">
        <v>28</v>
      </c>
      <c r="M24" s="82">
        <v>15.25</v>
      </c>
      <c r="N24" s="82">
        <v>23</v>
      </c>
      <c r="O24" s="82">
        <f t="shared" si="5"/>
        <v>80.25</v>
      </c>
      <c r="P24" s="82">
        <f t="shared" si="6"/>
        <v>169.25</v>
      </c>
      <c r="Q24" s="82">
        <f t="shared" si="7"/>
        <v>62.3</v>
      </c>
      <c r="R24" s="82">
        <f t="shared" si="8"/>
        <v>24.074999999999999</v>
      </c>
      <c r="S24" s="82">
        <f t="shared" si="9"/>
        <v>86.375</v>
      </c>
      <c r="T24" s="82"/>
    </row>
    <row r="25" spans="1:20" ht="20.100000000000001" customHeight="1">
      <c r="A25" s="21">
        <v>24</v>
      </c>
      <c r="B25" s="186"/>
      <c r="C25" s="18" t="s">
        <v>29</v>
      </c>
      <c r="D25" s="18" t="s">
        <v>1031</v>
      </c>
      <c r="E25" s="18"/>
      <c r="F25" s="18" t="s">
        <v>168</v>
      </c>
      <c r="G25" s="18" t="s">
        <v>79</v>
      </c>
      <c r="H25" s="18"/>
      <c r="I25" s="18" t="s">
        <v>26</v>
      </c>
      <c r="J25" s="82">
        <v>88</v>
      </c>
      <c r="K25" s="82">
        <v>14</v>
      </c>
      <c r="L25" s="82">
        <v>26</v>
      </c>
      <c r="M25" s="82">
        <v>14</v>
      </c>
      <c r="N25" s="82">
        <v>22</v>
      </c>
      <c r="O25" s="82">
        <f t="shared" si="5"/>
        <v>76</v>
      </c>
      <c r="P25" s="82">
        <f t="shared" si="6"/>
        <v>164</v>
      </c>
      <c r="Q25" s="82">
        <f t="shared" si="7"/>
        <v>61.599999999999994</v>
      </c>
      <c r="R25" s="82">
        <f t="shared" si="8"/>
        <v>22.8</v>
      </c>
      <c r="S25" s="82">
        <f t="shared" si="9"/>
        <v>84.399999999999991</v>
      </c>
      <c r="T25" s="18"/>
    </row>
    <row r="26" spans="1:20" ht="20.100000000000001" customHeight="1">
      <c r="A26" s="21">
        <v>25</v>
      </c>
      <c r="B26" s="186"/>
      <c r="C26" s="18" t="s">
        <v>132</v>
      </c>
      <c r="D26" s="18" t="s">
        <v>1014</v>
      </c>
      <c r="E26" s="18"/>
      <c r="F26" s="18" t="s">
        <v>168</v>
      </c>
      <c r="G26" s="18" t="s">
        <v>79</v>
      </c>
      <c r="H26" s="18"/>
      <c r="I26" s="18" t="s">
        <v>26</v>
      </c>
      <c r="J26" s="82">
        <v>82</v>
      </c>
      <c r="K26" s="82">
        <v>15</v>
      </c>
      <c r="L26" s="82">
        <v>30</v>
      </c>
      <c r="M26" s="82">
        <v>15.75</v>
      </c>
      <c r="N26" s="82">
        <v>24</v>
      </c>
      <c r="O26" s="82">
        <f t="shared" si="5"/>
        <v>84.75</v>
      </c>
      <c r="P26" s="82">
        <f t="shared" si="6"/>
        <v>166.75</v>
      </c>
      <c r="Q26" s="82">
        <f t="shared" si="7"/>
        <v>57.4</v>
      </c>
      <c r="R26" s="82">
        <f t="shared" si="8"/>
        <v>25.425000000000001</v>
      </c>
      <c r="S26" s="82">
        <f t="shared" si="9"/>
        <v>82.825000000000003</v>
      </c>
      <c r="T26" s="82"/>
    </row>
    <row r="27" spans="1:20" ht="20.100000000000001" customHeight="1">
      <c r="A27" s="21">
        <v>26</v>
      </c>
      <c r="B27" s="186"/>
      <c r="C27" s="18" t="s">
        <v>59</v>
      </c>
      <c r="D27" s="18" t="s">
        <v>1029</v>
      </c>
      <c r="E27" s="18"/>
      <c r="F27" s="18" t="s">
        <v>168</v>
      </c>
      <c r="G27" s="18" t="s">
        <v>79</v>
      </c>
      <c r="H27" s="18"/>
      <c r="I27" s="18" t="s">
        <v>433</v>
      </c>
      <c r="J27" s="82">
        <v>86</v>
      </c>
      <c r="K27" s="82">
        <v>15</v>
      </c>
      <c r="L27" s="82">
        <v>26</v>
      </c>
      <c r="M27" s="82">
        <v>13</v>
      </c>
      <c r="N27" s="82">
        <v>20.75</v>
      </c>
      <c r="O27" s="82">
        <f t="shared" si="5"/>
        <v>74.75</v>
      </c>
      <c r="P27" s="82">
        <f t="shared" si="6"/>
        <v>160.75</v>
      </c>
      <c r="Q27" s="82">
        <f t="shared" si="7"/>
        <v>60.199999999999996</v>
      </c>
      <c r="R27" s="82">
        <f t="shared" si="8"/>
        <v>22.425000000000001</v>
      </c>
      <c r="S27" s="82">
        <f t="shared" si="9"/>
        <v>82.625</v>
      </c>
      <c r="T27" s="82"/>
    </row>
    <row r="28" spans="1:20" ht="20.100000000000001" customHeight="1">
      <c r="A28" s="21">
        <v>27</v>
      </c>
      <c r="B28" s="186"/>
      <c r="C28" s="18" t="s">
        <v>59</v>
      </c>
      <c r="D28" s="18" t="s">
        <v>1030</v>
      </c>
      <c r="E28" s="18"/>
      <c r="F28" s="18" t="s">
        <v>168</v>
      </c>
      <c r="G28" s="18" t="s">
        <v>79</v>
      </c>
      <c r="H28" s="18"/>
      <c r="I28" s="18" t="s">
        <v>433</v>
      </c>
      <c r="J28" s="18"/>
      <c r="K28" s="82"/>
      <c r="L28" s="82"/>
      <c r="M28" s="82"/>
      <c r="N28" s="82"/>
      <c r="O28" s="82"/>
      <c r="P28" s="82"/>
      <c r="Q28" s="82">
        <f t="shared" si="7"/>
        <v>0</v>
      </c>
      <c r="R28" s="82">
        <f t="shared" si="8"/>
        <v>0</v>
      </c>
      <c r="S28" s="82">
        <f t="shared" si="9"/>
        <v>0</v>
      </c>
      <c r="T28" s="82" t="s">
        <v>1277</v>
      </c>
    </row>
    <row r="29" spans="1:20" ht="20.100000000000001" customHeight="1">
      <c r="A29" s="21">
        <v>28</v>
      </c>
      <c r="B29" s="186"/>
      <c r="C29" s="188" t="s">
        <v>127</v>
      </c>
      <c r="D29" s="189" t="s">
        <v>1049</v>
      </c>
      <c r="E29" s="188"/>
      <c r="F29" s="188" t="s">
        <v>168</v>
      </c>
      <c r="G29" s="188" t="s">
        <v>103</v>
      </c>
      <c r="H29" s="188"/>
      <c r="I29" s="188" t="s">
        <v>26</v>
      </c>
      <c r="J29" s="18"/>
      <c r="K29" s="82"/>
      <c r="L29" s="82"/>
      <c r="M29" s="82"/>
      <c r="N29" s="82"/>
      <c r="O29" s="82"/>
      <c r="P29" s="82"/>
      <c r="Q29" s="82">
        <f t="shared" si="7"/>
        <v>0</v>
      </c>
      <c r="R29" s="82">
        <f t="shared" si="8"/>
        <v>0</v>
      </c>
      <c r="S29" s="82">
        <f t="shared" si="9"/>
        <v>0</v>
      </c>
      <c r="T29" s="82" t="s">
        <v>1277</v>
      </c>
    </row>
    <row r="30" spans="1:20" ht="20.100000000000001" customHeight="1">
      <c r="A30" s="21">
        <v>29</v>
      </c>
      <c r="B30" s="186"/>
      <c r="C30" s="18" t="s">
        <v>106</v>
      </c>
      <c r="D30" s="18" t="s">
        <v>1054</v>
      </c>
      <c r="E30" s="18"/>
      <c r="F30" s="18" t="s">
        <v>168</v>
      </c>
      <c r="G30" s="18" t="s">
        <v>79</v>
      </c>
      <c r="H30" s="18"/>
      <c r="I30" s="18" t="s">
        <v>26</v>
      </c>
      <c r="J30" s="18"/>
      <c r="K30" s="82"/>
      <c r="L30" s="82"/>
      <c r="M30" s="82"/>
      <c r="N30" s="82"/>
      <c r="O30" s="82"/>
      <c r="P30" s="82"/>
      <c r="Q30" s="82">
        <f t="shared" si="7"/>
        <v>0</v>
      </c>
      <c r="R30" s="82">
        <f t="shared" si="8"/>
        <v>0</v>
      </c>
      <c r="S30" s="82">
        <f t="shared" si="9"/>
        <v>0</v>
      </c>
      <c r="T30" s="82" t="s">
        <v>1277</v>
      </c>
    </row>
    <row r="31" spans="1:20" ht="20.100000000000001" customHeight="1">
      <c r="A31" s="21">
        <v>30</v>
      </c>
      <c r="B31" s="186"/>
      <c r="C31" s="18" t="s">
        <v>106</v>
      </c>
      <c r="D31" s="18" t="s">
        <v>1055</v>
      </c>
      <c r="E31" s="18"/>
      <c r="F31" s="18" t="s">
        <v>168</v>
      </c>
      <c r="G31" s="18" t="s">
        <v>79</v>
      </c>
      <c r="H31" s="18"/>
      <c r="I31" s="18" t="s">
        <v>26</v>
      </c>
      <c r="J31" s="18"/>
      <c r="K31" s="82"/>
      <c r="L31" s="82"/>
      <c r="M31" s="82"/>
      <c r="N31" s="82"/>
      <c r="O31" s="18"/>
      <c r="P31" s="82"/>
      <c r="Q31" s="82">
        <f t="shared" si="7"/>
        <v>0</v>
      </c>
      <c r="R31" s="82">
        <f t="shared" si="8"/>
        <v>0</v>
      </c>
      <c r="S31" s="82">
        <f t="shared" si="9"/>
        <v>0</v>
      </c>
      <c r="T31" s="82" t="s">
        <v>1277</v>
      </c>
    </row>
    <row r="32" spans="1:20" ht="20.100000000000001" customHeight="1">
      <c r="A32" s="21">
        <v>31</v>
      </c>
      <c r="B32" s="186"/>
      <c r="C32" s="18" t="s">
        <v>53</v>
      </c>
      <c r="D32" s="18" t="s">
        <v>1042</v>
      </c>
      <c r="E32" s="18"/>
      <c r="F32" s="18" t="s">
        <v>168</v>
      </c>
      <c r="G32" s="18" t="s">
        <v>79</v>
      </c>
      <c r="H32" s="18"/>
      <c r="I32" s="18" t="s">
        <v>26</v>
      </c>
      <c r="J32" s="18"/>
      <c r="K32" s="82"/>
      <c r="L32" s="82"/>
      <c r="M32" s="82"/>
      <c r="N32" s="82"/>
      <c r="O32" s="82"/>
      <c r="P32" s="82"/>
      <c r="Q32" s="82">
        <f t="shared" si="7"/>
        <v>0</v>
      </c>
      <c r="R32" s="82">
        <f t="shared" si="8"/>
        <v>0</v>
      </c>
      <c r="S32" s="82">
        <f t="shared" si="9"/>
        <v>0</v>
      </c>
      <c r="T32" s="82" t="s">
        <v>1277</v>
      </c>
    </row>
    <row r="33" spans="1:20" ht="20.100000000000001" customHeight="1">
      <c r="A33" s="21">
        <v>32</v>
      </c>
      <c r="B33" s="186"/>
      <c r="C33" s="11" t="s">
        <v>54</v>
      </c>
      <c r="D33" s="11" t="s">
        <v>1039</v>
      </c>
      <c r="E33" s="11"/>
      <c r="F33" s="11" t="s">
        <v>168</v>
      </c>
      <c r="G33" s="11" t="s">
        <v>79</v>
      </c>
      <c r="H33" s="11"/>
      <c r="I33" s="11" t="s">
        <v>25</v>
      </c>
      <c r="J33" s="136">
        <v>100</v>
      </c>
      <c r="K33" s="136">
        <v>14.5</v>
      </c>
      <c r="L33" s="136">
        <v>30</v>
      </c>
      <c r="M33" s="136">
        <v>15.75</v>
      </c>
      <c r="N33" s="136">
        <v>22.25</v>
      </c>
      <c r="O33" s="136">
        <f t="shared" ref="O33:O49" si="10">SUM(K33:N33)</f>
        <v>82.5</v>
      </c>
      <c r="P33" s="136">
        <f t="shared" ref="P33:P48" si="11">SUM(J33:N33)</f>
        <v>182.5</v>
      </c>
      <c r="Q33" s="136">
        <f t="shared" ref="Q33:Q59" si="12">70%*J33</f>
        <v>70</v>
      </c>
      <c r="R33" s="136">
        <f t="shared" ref="R33:R59" si="13">30%*O33</f>
        <v>24.75</v>
      </c>
      <c r="S33" s="136">
        <f t="shared" si="9"/>
        <v>94.75</v>
      </c>
      <c r="T33" s="136"/>
    </row>
    <row r="34" spans="1:20" ht="20.100000000000001" customHeight="1">
      <c r="A34" s="21">
        <v>33</v>
      </c>
      <c r="B34" s="186"/>
      <c r="C34" s="191" t="s">
        <v>127</v>
      </c>
      <c r="D34" s="192" t="s">
        <v>1050</v>
      </c>
      <c r="E34" s="191"/>
      <c r="F34" s="191" t="s">
        <v>168</v>
      </c>
      <c r="G34" s="191" t="s">
        <v>103</v>
      </c>
      <c r="H34" s="191"/>
      <c r="I34" s="191" t="s">
        <v>25</v>
      </c>
      <c r="J34" s="136">
        <v>100</v>
      </c>
      <c r="K34" s="136">
        <v>14</v>
      </c>
      <c r="L34" s="136">
        <v>28</v>
      </c>
      <c r="M34" s="136">
        <v>14</v>
      </c>
      <c r="N34" s="136">
        <v>21</v>
      </c>
      <c r="O34" s="136">
        <f t="shared" si="10"/>
        <v>77</v>
      </c>
      <c r="P34" s="136">
        <f t="shared" si="11"/>
        <v>177</v>
      </c>
      <c r="Q34" s="136">
        <f t="shared" si="12"/>
        <v>70</v>
      </c>
      <c r="R34" s="136">
        <f t="shared" si="13"/>
        <v>23.099999999999998</v>
      </c>
      <c r="S34" s="136">
        <f t="shared" si="9"/>
        <v>93.1</v>
      </c>
      <c r="T34" s="136"/>
    </row>
    <row r="35" spans="1:20" ht="20.100000000000001" customHeight="1">
      <c r="A35" s="21">
        <v>34</v>
      </c>
      <c r="B35" s="186"/>
      <c r="C35" s="11" t="s">
        <v>40</v>
      </c>
      <c r="D35" s="11" t="s">
        <v>1060</v>
      </c>
      <c r="E35" s="11"/>
      <c r="F35" s="11" t="s">
        <v>168</v>
      </c>
      <c r="G35" s="11" t="s">
        <v>79</v>
      </c>
      <c r="H35" s="11"/>
      <c r="I35" s="11" t="s">
        <v>25</v>
      </c>
      <c r="J35" s="136">
        <v>99.5</v>
      </c>
      <c r="K35" s="136">
        <v>15</v>
      </c>
      <c r="L35" s="136">
        <v>28</v>
      </c>
      <c r="M35" s="136">
        <v>13.5</v>
      </c>
      <c r="N35" s="136">
        <v>21</v>
      </c>
      <c r="O35" s="136">
        <f t="shared" si="10"/>
        <v>77.5</v>
      </c>
      <c r="P35" s="136">
        <f t="shared" si="11"/>
        <v>177</v>
      </c>
      <c r="Q35" s="136">
        <f t="shared" si="12"/>
        <v>69.649999999999991</v>
      </c>
      <c r="R35" s="136">
        <f t="shared" si="13"/>
        <v>23.25</v>
      </c>
      <c r="S35" s="136">
        <f t="shared" si="9"/>
        <v>92.899999999999991</v>
      </c>
      <c r="T35" s="11"/>
    </row>
    <row r="36" spans="1:20" ht="20.100000000000001" customHeight="1">
      <c r="A36" s="21">
        <v>35</v>
      </c>
      <c r="B36" s="186"/>
      <c r="C36" s="11" t="s">
        <v>65</v>
      </c>
      <c r="D36" s="11" t="s">
        <v>315</v>
      </c>
      <c r="E36" s="11"/>
      <c r="F36" s="11" t="s">
        <v>168</v>
      </c>
      <c r="G36" s="11" t="s">
        <v>79</v>
      </c>
      <c r="H36" s="11"/>
      <c r="I36" s="11" t="s">
        <v>25</v>
      </c>
      <c r="J36" s="136">
        <v>100</v>
      </c>
      <c r="K36" s="136">
        <v>15</v>
      </c>
      <c r="L36" s="136">
        <v>26</v>
      </c>
      <c r="M36" s="136">
        <v>13</v>
      </c>
      <c r="N36" s="136">
        <v>20.5</v>
      </c>
      <c r="O36" s="136">
        <f t="shared" si="10"/>
        <v>74.5</v>
      </c>
      <c r="P36" s="136">
        <f t="shared" si="11"/>
        <v>174.5</v>
      </c>
      <c r="Q36" s="136">
        <f t="shared" si="12"/>
        <v>70</v>
      </c>
      <c r="R36" s="136">
        <f t="shared" si="13"/>
        <v>22.349999999999998</v>
      </c>
      <c r="S36" s="136">
        <f t="shared" si="9"/>
        <v>92.35</v>
      </c>
      <c r="T36" s="136"/>
    </row>
    <row r="37" spans="1:20" ht="20.100000000000001" customHeight="1">
      <c r="A37" s="21">
        <v>36</v>
      </c>
      <c r="B37" s="186"/>
      <c r="C37" s="11" t="s">
        <v>52</v>
      </c>
      <c r="D37" s="11" t="s">
        <v>1047</v>
      </c>
      <c r="E37" s="11"/>
      <c r="F37" s="11" t="s">
        <v>168</v>
      </c>
      <c r="G37" s="11" t="s">
        <v>79</v>
      </c>
      <c r="H37" s="11"/>
      <c r="I37" s="11" t="s">
        <v>25</v>
      </c>
      <c r="J37" s="136">
        <v>97.5</v>
      </c>
      <c r="K37" s="136">
        <v>15</v>
      </c>
      <c r="L37" s="136">
        <v>28</v>
      </c>
      <c r="M37" s="136">
        <v>15.25</v>
      </c>
      <c r="N37" s="136">
        <v>22</v>
      </c>
      <c r="O37" s="136">
        <f t="shared" si="10"/>
        <v>80.25</v>
      </c>
      <c r="P37" s="136">
        <f t="shared" si="11"/>
        <v>177.75</v>
      </c>
      <c r="Q37" s="136">
        <f t="shared" si="12"/>
        <v>68.25</v>
      </c>
      <c r="R37" s="136">
        <f t="shared" si="13"/>
        <v>24.074999999999999</v>
      </c>
      <c r="S37" s="136">
        <f t="shared" si="9"/>
        <v>92.325000000000003</v>
      </c>
      <c r="T37" s="136"/>
    </row>
    <row r="38" spans="1:20" ht="20.100000000000001" customHeight="1">
      <c r="A38" s="21">
        <v>37</v>
      </c>
      <c r="B38" s="186"/>
      <c r="C38" s="11" t="s">
        <v>75</v>
      </c>
      <c r="D38" s="11" t="s">
        <v>1057</v>
      </c>
      <c r="E38" s="33"/>
      <c r="F38" s="11" t="s">
        <v>168</v>
      </c>
      <c r="G38" s="11" t="s">
        <v>79</v>
      </c>
      <c r="H38" s="11"/>
      <c r="I38" s="11" t="s">
        <v>25</v>
      </c>
      <c r="J38" s="136">
        <v>97.5</v>
      </c>
      <c r="K38" s="136">
        <v>15</v>
      </c>
      <c r="L38" s="136">
        <v>26</v>
      </c>
      <c r="M38" s="136">
        <v>14.25</v>
      </c>
      <c r="N38" s="136">
        <v>21.5</v>
      </c>
      <c r="O38" s="136">
        <f t="shared" si="10"/>
        <v>76.75</v>
      </c>
      <c r="P38" s="136">
        <f t="shared" si="11"/>
        <v>174.25</v>
      </c>
      <c r="Q38" s="136">
        <f t="shared" si="12"/>
        <v>68.25</v>
      </c>
      <c r="R38" s="136">
        <f t="shared" si="13"/>
        <v>23.024999999999999</v>
      </c>
      <c r="S38" s="136">
        <f t="shared" si="9"/>
        <v>91.275000000000006</v>
      </c>
      <c r="T38" s="11"/>
    </row>
    <row r="39" spans="1:20" ht="20.100000000000001" customHeight="1">
      <c r="A39" s="21">
        <v>38</v>
      </c>
      <c r="B39" s="186"/>
      <c r="C39" s="11" t="s">
        <v>1186</v>
      </c>
      <c r="D39" s="120" t="s">
        <v>1205</v>
      </c>
      <c r="E39" s="11"/>
      <c r="F39" s="120"/>
      <c r="G39" s="120"/>
      <c r="H39" s="11"/>
      <c r="I39" s="120" t="s">
        <v>25</v>
      </c>
      <c r="J39" s="120">
        <v>96</v>
      </c>
      <c r="K39" s="120">
        <v>14.5</v>
      </c>
      <c r="L39" s="120">
        <v>26</v>
      </c>
      <c r="M39" s="120">
        <v>15</v>
      </c>
      <c r="N39" s="120">
        <v>23</v>
      </c>
      <c r="O39" s="120">
        <f t="shared" si="10"/>
        <v>78.5</v>
      </c>
      <c r="P39" s="120">
        <f t="shared" si="11"/>
        <v>174.5</v>
      </c>
      <c r="Q39" s="120">
        <f t="shared" si="12"/>
        <v>67.199999999999989</v>
      </c>
      <c r="R39" s="120">
        <f t="shared" si="13"/>
        <v>23.55</v>
      </c>
      <c r="S39" s="120">
        <f t="shared" si="9"/>
        <v>90.749999999999986</v>
      </c>
      <c r="T39" s="120"/>
    </row>
    <row r="40" spans="1:20" ht="20.100000000000001" customHeight="1">
      <c r="A40" s="21">
        <v>39</v>
      </c>
      <c r="B40" s="186"/>
      <c r="C40" s="11" t="s">
        <v>30</v>
      </c>
      <c r="D40" s="120" t="s">
        <v>1203</v>
      </c>
      <c r="E40" s="193"/>
      <c r="F40" s="120"/>
      <c r="G40" s="120"/>
      <c r="H40" s="11"/>
      <c r="I40" s="120" t="s">
        <v>25</v>
      </c>
      <c r="J40" s="120">
        <v>95</v>
      </c>
      <c r="K40" s="120">
        <v>15</v>
      </c>
      <c r="L40" s="120">
        <v>29</v>
      </c>
      <c r="M40" s="120">
        <v>14</v>
      </c>
      <c r="N40" s="120">
        <v>22.25</v>
      </c>
      <c r="O40" s="120">
        <f t="shared" si="10"/>
        <v>80.25</v>
      </c>
      <c r="P40" s="120">
        <f t="shared" si="11"/>
        <v>175.25</v>
      </c>
      <c r="Q40" s="120">
        <f t="shared" si="12"/>
        <v>66.5</v>
      </c>
      <c r="R40" s="120">
        <f t="shared" si="13"/>
        <v>24.074999999999999</v>
      </c>
      <c r="S40" s="120">
        <f t="shared" si="9"/>
        <v>90.575000000000003</v>
      </c>
      <c r="T40" s="120"/>
    </row>
    <row r="41" spans="1:20" ht="20.100000000000001" customHeight="1">
      <c r="A41" s="21">
        <v>40</v>
      </c>
      <c r="B41" s="186"/>
      <c r="C41" s="11" t="s">
        <v>1017</v>
      </c>
      <c r="D41" s="11" t="s">
        <v>1016</v>
      </c>
      <c r="E41" s="11"/>
      <c r="F41" s="11" t="s">
        <v>168</v>
      </c>
      <c r="G41" s="11" t="s">
        <v>79</v>
      </c>
      <c r="H41" s="11"/>
      <c r="I41" s="11" t="s">
        <v>25</v>
      </c>
      <c r="J41" s="136">
        <v>98</v>
      </c>
      <c r="K41" s="136">
        <v>15</v>
      </c>
      <c r="L41" s="136">
        <v>22</v>
      </c>
      <c r="M41" s="136">
        <v>14.5</v>
      </c>
      <c r="N41" s="136">
        <v>21.5</v>
      </c>
      <c r="O41" s="136">
        <f t="shared" si="10"/>
        <v>73</v>
      </c>
      <c r="P41" s="136">
        <f t="shared" si="11"/>
        <v>171</v>
      </c>
      <c r="Q41" s="136">
        <f t="shared" si="12"/>
        <v>68.599999999999994</v>
      </c>
      <c r="R41" s="136">
        <f t="shared" si="13"/>
        <v>21.9</v>
      </c>
      <c r="S41" s="136">
        <f t="shared" si="9"/>
        <v>90.5</v>
      </c>
      <c r="T41" s="136"/>
    </row>
    <row r="42" spans="1:20" ht="20.100000000000001" customHeight="1">
      <c r="A42" s="21">
        <v>41</v>
      </c>
      <c r="B42" s="186"/>
      <c r="C42" s="11" t="s">
        <v>1186</v>
      </c>
      <c r="D42" s="120" t="s">
        <v>1199</v>
      </c>
      <c r="E42" s="11"/>
      <c r="F42" s="120"/>
      <c r="G42" s="120"/>
      <c r="H42" s="11"/>
      <c r="I42" s="120" t="s">
        <v>25</v>
      </c>
      <c r="J42" s="120">
        <v>99</v>
      </c>
      <c r="K42" s="120">
        <v>13.5</v>
      </c>
      <c r="L42" s="120">
        <v>21</v>
      </c>
      <c r="M42" s="120">
        <v>14.25</v>
      </c>
      <c r="N42" s="120">
        <v>20.5</v>
      </c>
      <c r="O42" s="120">
        <f t="shared" si="10"/>
        <v>69.25</v>
      </c>
      <c r="P42" s="120">
        <f t="shared" si="11"/>
        <v>168.25</v>
      </c>
      <c r="Q42" s="120">
        <f t="shared" si="12"/>
        <v>69.3</v>
      </c>
      <c r="R42" s="120">
        <f t="shared" si="13"/>
        <v>20.774999999999999</v>
      </c>
      <c r="S42" s="120">
        <f t="shared" si="9"/>
        <v>90.074999999999989</v>
      </c>
      <c r="T42" s="120"/>
    </row>
    <row r="43" spans="1:20" ht="20.100000000000001" customHeight="1">
      <c r="A43" s="21">
        <v>42</v>
      </c>
      <c r="B43" s="186"/>
      <c r="C43" s="11" t="s">
        <v>1186</v>
      </c>
      <c r="D43" s="120" t="s">
        <v>1204</v>
      </c>
      <c r="E43" s="11"/>
      <c r="F43" s="120"/>
      <c r="G43" s="120"/>
      <c r="H43" s="11"/>
      <c r="I43" s="120" t="s">
        <v>25</v>
      </c>
      <c r="J43" s="120">
        <v>96.5</v>
      </c>
      <c r="K43" s="120">
        <v>14.5</v>
      </c>
      <c r="L43" s="120">
        <v>26</v>
      </c>
      <c r="M43" s="120">
        <v>12.5</v>
      </c>
      <c r="N43" s="120">
        <v>21</v>
      </c>
      <c r="O43" s="120">
        <f t="shared" si="10"/>
        <v>74</v>
      </c>
      <c r="P43" s="120">
        <f t="shared" si="11"/>
        <v>170.5</v>
      </c>
      <c r="Q43" s="120">
        <f t="shared" si="12"/>
        <v>67.55</v>
      </c>
      <c r="R43" s="120">
        <f t="shared" si="13"/>
        <v>22.2</v>
      </c>
      <c r="S43" s="120">
        <f t="shared" si="9"/>
        <v>89.75</v>
      </c>
      <c r="T43" s="120"/>
    </row>
    <row r="44" spans="1:20" ht="20.100000000000001" customHeight="1">
      <c r="A44" s="21">
        <v>43</v>
      </c>
      <c r="B44" s="186"/>
      <c r="C44" s="11" t="s">
        <v>64</v>
      </c>
      <c r="D44" s="11" t="s">
        <v>1024</v>
      </c>
      <c r="E44" s="11"/>
      <c r="F44" s="11" t="s">
        <v>168</v>
      </c>
      <c r="G44" s="11" t="s">
        <v>79</v>
      </c>
      <c r="H44" s="11"/>
      <c r="I44" s="11" t="s">
        <v>25</v>
      </c>
      <c r="J44" s="136">
        <v>93</v>
      </c>
      <c r="K44" s="136">
        <v>15</v>
      </c>
      <c r="L44" s="136">
        <v>28</v>
      </c>
      <c r="M44" s="136">
        <v>15.25</v>
      </c>
      <c r="N44" s="136">
        <v>23.25</v>
      </c>
      <c r="O44" s="136">
        <f t="shared" si="10"/>
        <v>81.5</v>
      </c>
      <c r="P44" s="136">
        <f t="shared" si="11"/>
        <v>174.5</v>
      </c>
      <c r="Q44" s="136">
        <f t="shared" si="12"/>
        <v>65.099999999999994</v>
      </c>
      <c r="R44" s="136">
        <f t="shared" si="13"/>
        <v>24.45</v>
      </c>
      <c r="S44" s="136">
        <f t="shared" si="9"/>
        <v>89.55</v>
      </c>
      <c r="T44" s="136"/>
    </row>
    <row r="45" spans="1:20" ht="20.100000000000001" customHeight="1">
      <c r="A45" s="21">
        <v>44</v>
      </c>
      <c r="B45" s="186"/>
      <c r="C45" s="11" t="s">
        <v>53</v>
      </c>
      <c r="D45" s="11" t="s">
        <v>1041</v>
      </c>
      <c r="E45" s="11"/>
      <c r="F45" s="11" t="s">
        <v>168</v>
      </c>
      <c r="G45" s="11" t="s">
        <v>79</v>
      </c>
      <c r="H45" s="11"/>
      <c r="I45" s="11" t="s">
        <v>25</v>
      </c>
      <c r="J45" s="136">
        <v>92</v>
      </c>
      <c r="K45" s="136">
        <v>15</v>
      </c>
      <c r="L45" s="136">
        <v>30</v>
      </c>
      <c r="M45" s="136">
        <v>15.75</v>
      </c>
      <c r="N45" s="136">
        <v>22.25</v>
      </c>
      <c r="O45" s="136">
        <f t="shared" si="10"/>
        <v>83</v>
      </c>
      <c r="P45" s="136">
        <f t="shared" si="11"/>
        <v>175</v>
      </c>
      <c r="Q45" s="136">
        <f t="shared" si="12"/>
        <v>64.399999999999991</v>
      </c>
      <c r="R45" s="136">
        <f t="shared" si="13"/>
        <v>24.9</v>
      </c>
      <c r="S45" s="136">
        <f t="shared" si="9"/>
        <v>89.299999999999983</v>
      </c>
      <c r="T45" s="136"/>
    </row>
    <row r="46" spans="1:20" ht="20.100000000000001" customHeight="1">
      <c r="A46" s="21">
        <v>45</v>
      </c>
      <c r="B46" s="186"/>
      <c r="C46" s="11" t="s">
        <v>99</v>
      </c>
      <c r="D46" s="11" t="s">
        <v>1032</v>
      </c>
      <c r="E46" s="11"/>
      <c r="F46" s="11" t="s">
        <v>168</v>
      </c>
      <c r="G46" s="11" t="s">
        <v>79</v>
      </c>
      <c r="H46" s="11"/>
      <c r="I46" s="11" t="s">
        <v>25</v>
      </c>
      <c r="J46" s="136">
        <v>87</v>
      </c>
      <c r="K46" s="136">
        <v>14</v>
      </c>
      <c r="L46" s="136">
        <v>25</v>
      </c>
      <c r="M46" s="136">
        <v>15</v>
      </c>
      <c r="N46" s="136">
        <v>22</v>
      </c>
      <c r="O46" s="136">
        <f t="shared" si="10"/>
        <v>76</v>
      </c>
      <c r="P46" s="136">
        <f t="shared" si="11"/>
        <v>163</v>
      </c>
      <c r="Q46" s="136">
        <f t="shared" si="12"/>
        <v>60.9</v>
      </c>
      <c r="R46" s="136">
        <f t="shared" si="13"/>
        <v>22.8</v>
      </c>
      <c r="S46" s="136">
        <f t="shared" si="9"/>
        <v>83.7</v>
      </c>
      <c r="T46" s="136"/>
    </row>
    <row r="47" spans="1:20" ht="20.100000000000001" customHeight="1">
      <c r="A47" s="21">
        <v>46</v>
      </c>
      <c r="B47" s="186"/>
      <c r="C47" s="11" t="s">
        <v>72</v>
      </c>
      <c r="D47" s="120" t="s">
        <v>1200</v>
      </c>
      <c r="E47" s="153"/>
      <c r="F47" s="11"/>
      <c r="G47" s="120"/>
      <c r="H47" s="153"/>
      <c r="I47" s="120" t="s">
        <v>25</v>
      </c>
      <c r="J47" s="120">
        <v>85.5</v>
      </c>
      <c r="K47" s="120">
        <v>15</v>
      </c>
      <c r="L47" s="120">
        <v>25</v>
      </c>
      <c r="M47" s="120">
        <v>14.5</v>
      </c>
      <c r="N47" s="120">
        <v>21.5</v>
      </c>
      <c r="O47" s="120">
        <f t="shared" si="10"/>
        <v>76</v>
      </c>
      <c r="P47" s="120">
        <f t="shared" si="11"/>
        <v>161.5</v>
      </c>
      <c r="Q47" s="120">
        <f t="shared" si="12"/>
        <v>59.849999999999994</v>
      </c>
      <c r="R47" s="120">
        <f t="shared" si="13"/>
        <v>22.8</v>
      </c>
      <c r="S47" s="120">
        <f t="shared" si="9"/>
        <v>82.649999999999991</v>
      </c>
      <c r="T47" s="120"/>
    </row>
    <row r="48" spans="1:20" ht="20.100000000000001" customHeight="1">
      <c r="A48" s="21">
        <v>47</v>
      </c>
      <c r="B48" s="186"/>
      <c r="C48" s="11" t="s">
        <v>61</v>
      </c>
      <c r="D48" s="11" t="s">
        <v>1027</v>
      </c>
      <c r="E48" s="11"/>
      <c r="F48" s="11" t="s">
        <v>168</v>
      </c>
      <c r="G48" s="11" t="s">
        <v>79</v>
      </c>
      <c r="H48" s="11"/>
      <c r="I48" s="11" t="s">
        <v>25</v>
      </c>
      <c r="J48" s="136">
        <v>45</v>
      </c>
      <c r="K48" s="136">
        <v>15</v>
      </c>
      <c r="L48" s="136">
        <v>24</v>
      </c>
      <c r="M48" s="136">
        <v>13.5</v>
      </c>
      <c r="N48" s="136">
        <v>21</v>
      </c>
      <c r="O48" s="136">
        <f t="shared" si="10"/>
        <v>73.5</v>
      </c>
      <c r="P48" s="136">
        <f t="shared" si="11"/>
        <v>118.5</v>
      </c>
      <c r="Q48" s="136">
        <f t="shared" si="12"/>
        <v>31.499999999999996</v>
      </c>
      <c r="R48" s="136">
        <f t="shared" si="13"/>
        <v>22.05</v>
      </c>
      <c r="S48" s="136">
        <f t="shared" si="9"/>
        <v>53.55</v>
      </c>
      <c r="T48" s="136"/>
    </row>
    <row r="49" spans="1:20" ht="20.100000000000001" customHeight="1">
      <c r="A49" s="21">
        <v>48</v>
      </c>
      <c r="B49" s="186"/>
      <c r="C49" s="11" t="s">
        <v>27</v>
      </c>
      <c r="D49" s="11" t="s">
        <v>1036</v>
      </c>
      <c r="E49" s="11"/>
      <c r="F49" s="11" t="s">
        <v>168</v>
      </c>
      <c r="G49" s="11" t="s">
        <v>79</v>
      </c>
      <c r="H49" s="11"/>
      <c r="I49" s="11" t="s">
        <v>25</v>
      </c>
      <c r="J49" s="11">
        <v>43</v>
      </c>
      <c r="K49" s="136">
        <v>15</v>
      </c>
      <c r="L49" s="136">
        <v>24</v>
      </c>
      <c r="M49" s="136">
        <v>20</v>
      </c>
      <c r="N49" s="136">
        <v>12</v>
      </c>
      <c r="O49" s="136">
        <f t="shared" si="10"/>
        <v>71</v>
      </c>
      <c r="P49" s="136">
        <f>71+43</f>
        <v>114</v>
      </c>
      <c r="Q49" s="136">
        <f t="shared" si="12"/>
        <v>30.099999999999998</v>
      </c>
      <c r="R49" s="136">
        <f t="shared" si="13"/>
        <v>21.3</v>
      </c>
      <c r="S49" s="136">
        <f t="shared" si="9"/>
        <v>51.4</v>
      </c>
      <c r="T49" s="136"/>
    </row>
    <row r="50" spans="1:20" ht="20.100000000000001" customHeight="1">
      <c r="A50" s="21">
        <v>49</v>
      </c>
      <c r="B50" s="186"/>
      <c r="C50" s="11" t="s">
        <v>59</v>
      </c>
      <c r="D50" s="11" t="s">
        <v>1028</v>
      </c>
      <c r="E50" s="11"/>
      <c r="F50" s="11" t="s">
        <v>168</v>
      </c>
      <c r="G50" s="11" t="s">
        <v>79</v>
      </c>
      <c r="H50" s="11"/>
      <c r="I50" s="11" t="s">
        <v>259</v>
      </c>
      <c r="J50" s="11"/>
      <c r="K50" s="136"/>
      <c r="L50" s="136"/>
      <c r="M50" s="136"/>
      <c r="N50" s="136"/>
      <c r="O50" s="136"/>
      <c r="P50" s="136"/>
      <c r="Q50" s="136">
        <f t="shared" si="12"/>
        <v>0</v>
      </c>
      <c r="R50" s="136">
        <f t="shared" si="13"/>
        <v>0</v>
      </c>
      <c r="S50" s="136">
        <f t="shared" si="9"/>
        <v>0</v>
      </c>
      <c r="T50" s="136" t="s">
        <v>1277</v>
      </c>
    </row>
    <row r="51" spans="1:20" ht="20.100000000000001" customHeight="1">
      <c r="A51" s="21">
        <v>50</v>
      </c>
      <c r="B51" s="186"/>
      <c r="C51" s="11" t="s">
        <v>926</v>
      </c>
      <c r="D51" s="11" t="s">
        <v>1013</v>
      </c>
      <c r="E51" s="11"/>
      <c r="F51" s="11" t="s">
        <v>168</v>
      </c>
      <c r="G51" s="11" t="s">
        <v>79</v>
      </c>
      <c r="H51" s="11"/>
      <c r="I51" s="11" t="s">
        <v>25</v>
      </c>
      <c r="J51" s="11"/>
      <c r="K51" s="136"/>
      <c r="L51" s="136"/>
      <c r="M51" s="136"/>
      <c r="N51" s="136"/>
      <c r="O51" s="136"/>
      <c r="P51" s="136"/>
      <c r="Q51" s="136">
        <f t="shared" si="12"/>
        <v>0</v>
      </c>
      <c r="R51" s="136">
        <f t="shared" si="13"/>
        <v>0</v>
      </c>
      <c r="S51" s="136">
        <f t="shared" si="9"/>
        <v>0</v>
      </c>
      <c r="T51" s="136" t="s">
        <v>1277</v>
      </c>
    </row>
    <row r="52" spans="1:20" ht="20.100000000000001" customHeight="1">
      <c r="A52" s="21">
        <v>51</v>
      </c>
      <c r="B52" s="186"/>
      <c r="C52" s="11" t="s">
        <v>65</v>
      </c>
      <c r="D52" s="11" t="s">
        <v>1021</v>
      </c>
      <c r="E52" s="11"/>
      <c r="F52" s="11" t="s">
        <v>168</v>
      </c>
      <c r="G52" s="11" t="s">
        <v>79</v>
      </c>
      <c r="H52" s="11"/>
      <c r="I52" s="11" t="s">
        <v>25</v>
      </c>
      <c r="J52" s="11"/>
      <c r="K52" s="136"/>
      <c r="L52" s="136"/>
      <c r="M52" s="136"/>
      <c r="N52" s="136"/>
      <c r="O52" s="136"/>
      <c r="P52" s="136"/>
      <c r="Q52" s="136">
        <f t="shared" si="12"/>
        <v>0</v>
      </c>
      <c r="R52" s="136">
        <f t="shared" si="13"/>
        <v>0</v>
      </c>
      <c r="S52" s="136">
        <f t="shared" si="9"/>
        <v>0</v>
      </c>
      <c r="T52" s="136" t="s">
        <v>1277</v>
      </c>
    </row>
    <row r="53" spans="1:20" ht="20.100000000000001" customHeight="1">
      <c r="A53" s="21">
        <v>52</v>
      </c>
      <c r="B53" s="186"/>
      <c r="C53" s="11" t="s">
        <v>196</v>
      </c>
      <c r="D53" s="11" t="s">
        <v>1035</v>
      </c>
      <c r="E53" s="11"/>
      <c r="F53" s="11" t="s">
        <v>168</v>
      </c>
      <c r="G53" s="11" t="s">
        <v>79</v>
      </c>
      <c r="H53" s="11"/>
      <c r="I53" s="11" t="s">
        <v>25</v>
      </c>
      <c r="J53" s="11"/>
      <c r="K53" s="136"/>
      <c r="L53" s="136"/>
      <c r="M53" s="136"/>
      <c r="N53" s="136"/>
      <c r="O53" s="136"/>
      <c r="P53" s="136"/>
      <c r="Q53" s="136">
        <f t="shared" si="12"/>
        <v>0</v>
      </c>
      <c r="R53" s="136">
        <f t="shared" si="13"/>
        <v>0</v>
      </c>
      <c r="S53" s="136">
        <f t="shared" si="9"/>
        <v>0</v>
      </c>
      <c r="T53" s="136" t="s">
        <v>1277</v>
      </c>
    </row>
    <row r="54" spans="1:20" ht="20.100000000000001" customHeight="1">
      <c r="A54" s="21">
        <v>53</v>
      </c>
      <c r="B54" s="186"/>
      <c r="C54" s="11" t="s">
        <v>30</v>
      </c>
      <c r="D54" s="11" t="s">
        <v>1023</v>
      </c>
      <c r="E54" s="11"/>
      <c r="F54" s="11" t="s">
        <v>168</v>
      </c>
      <c r="G54" s="11" t="s">
        <v>79</v>
      </c>
      <c r="H54" s="11"/>
      <c r="I54" s="11" t="s">
        <v>25</v>
      </c>
      <c r="J54" s="11"/>
      <c r="K54" s="136"/>
      <c r="L54" s="136"/>
      <c r="M54" s="136"/>
      <c r="N54" s="136"/>
      <c r="O54" s="136"/>
      <c r="P54" s="136"/>
      <c r="Q54" s="136">
        <f t="shared" si="12"/>
        <v>0</v>
      </c>
      <c r="R54" s="136">
        <f t="shared" si="13"/>
        <v>0</v>
      </c>
      <c r="S54" s="136">
        <f t="shared" si="9"/>
        <v>0</v>
      </c>
      <c r="T54" s="136" t="s">
        <v>1277</v>
      </c>
    </row>
    <row r="55" spans="1:20" ht="20.100000000000001" customHeight="1">
      <c r="A55" s="21">
        <v>54</v>
      </c>
      <c r="B55" s="186"/>
      <c r="C55" s="11" t="s">
        <v>280</v>
      </c>
      <c r="D55" s="11" t="s">
        <v>1046</v>
      </c>
      <c r="E55" s="33"/>
      <c r="F55" s="11" t="s">
        <v>168</v>
      </c>
      <c r="G55" s="11" t="s">
        <v>79</v>
      </c>
      <c r="H55" s="33"/>
      <c r="I55" s="11" t="s">
        <v>25</v>
      </c>
      <c r="J55" s="11"/>
      <c r="K55" s="136"/>
      <c r="L55" s="136"/>
      <c r="M55" s="136"/>
      <c r="N55" s="136"/>
      <c r="O55" s="136"/>
      <c r="P55" s="136"/>
      <c r="Q55" s="136">
        <f t="shared" si="12"/>
        <v>0</v>
      </c>
      <c r="R55" s="136">
        <f t="shared" si="13"/>
        <v>0</v>
      </c>
      <c r="S55" s="136">
        <f t="shared" si="9"/>
        <v>0</v>
      </c>
      <c r="T55" s="136" t="s">
        <v>1277</v>
      </c>
    </row>
    <row r="56" spans="1:20" ht="20.100000000000001" customHeight="1">
      <c r="A56" s="21">
        <v>55</v>
      </c>
      <c r="B56" s="186"/>
      <c r="C56" s="11" t="s">
        <v>57</v>
      </c>
      <c r="D56" s="11" t="s">
        <v>1034</v>
      </c>
      <c r="E56" s="11"/>
      <c r="F56" s="11" t="s">
        <v>168</v>
      </c>
      <c r="G56" s="11" t="s">
        <v>79</v>
      </c>
      <c r="H56" s="11"/>
      <c r="I56" s="11" t="s">
        <v>25</v>
      </c>
      <c r="J56" s="11"/>
      <c r="K56" s="136"/>
      <c r="L56" s="136"/>
      <c r="M56" s="136"/>
      <c r="N56" s="136"/>
      <c r="O56" s="136"/>
      <c r="P56" s="136"/>
      <c r="Q56" s="136">
        <f t="shared" si="12"/>
        <v>0</v>
      </c>
      <c r="R56" s="136">
        <f t="shared" si="13"/>
        <v>0</v>
      </c>
      <c r="S56" s="136">
        <f t="shared" si="9"/>
        <v>0</v>
      </c>
      <c r="T56" s="136" t="s">
        <v>1277</v>
      </c>
    </row>
    <row r="57" spans="1:20" ht="20.100000000000001" customHeight="1">
      <c r="A57" s="21">
        <v>56</v>
      </c>
      <c r="B57" s="186"/>
      <c r="C57" s="11" t="s">
        <v>106</v>
      </c>
      <c r="D57" s="11" t="s">
        <v>1053</v>
      </c>
      <c r="E57" s="11"/>
      <c r="F57" s="11" t="s">
        <v>168</v>
      </c>
      <c r="G57" s="11" t="s">
        <v>79</v>
      </c>
      <c r="H57" s="11"/>
      <c r="I57" s="11" t="s">
        <v>25</v>
      </c>
      <c r="J57" s="11"/>
      <c r="K57" s="136"/>
      <c r="L57" s="136"/>
      <c r="M57" s="136"/>
      <c r="N57" s="136"/>
      <c r="O57" s="136"/>
      <c r="P57" s="136"/>
      <c r="Q57" s="136">
        <f t="shared" si="12"/>
        <v>0</v>
      </c>
      <c r="R57" s="136">
        <f t="shared" si="13"/>
        <v>0</v>
      </c>
      <c r="S57" s="136">
        <f t="shared" si="9"/>
        <v>0</v>
      </c>
      <c r="T57" s="136" t="s">
        <v>1277</v>
      </c>
    </row>
    <row r="58" spans="1:20" ht="20.100000000000001" customHeight="1">
      <c r="A58" s="21">
        <v>57</v>
      </c>
      <c r="B58" s="186"/>
      <c r="C58" s="11" t="s">
        <v>73</v>
      </c>
      <c r="D58" s="11" t="s">
        <v>1012</v>
      </c>
      <c r="E58" s="11"/>
      <c r="F58" s="11" t="s">
        <v>168</v>
      </c>
      <c r="G58" s="11" t="s">
        <v>79</v>
      </c>
      <c r="H58" s="11"/>
      <c r="I58" s="11" t="s">
        <v>25</v>
      </c>
      <c r="J58" s="11"/>
      <c r="K58" s="136"/>
      <c r="L58" s="136"/>
      <c r="M58" s="136"/>
      <c r="N58" s="136"/>
      <c r="O58" s="136"/>
      <c r="P58" s="136"/>
      <c r="Q58" s="136">
        <f t="shared" si="12"/>
        <v>0</v>
      </c>
      <c r="R58" s="136">
        <f t="shared" si="13"/>
        <v>0</v>
      </c>
      <c r="S58" s="136">
        <f t="shared" si="9"/>
        <v>0</v>
      </c>
      <c r="T58" s="136" t="s">
        <v>1277</v>
      </c>
    </row>
    <row r="59" spans="1:20" ht="20.100000000000001" customHeight="1">
      <c r="A59" s="21">
        <v>58</v>
      </c>
      <c r="B59" s="186"/>
      <c r="C59" s="195"/>
      <c r="D59" s="197" t="s">
        <v>1201</v>
      </c>
      <c r="E59" s="197"/>
      <c r="F59" s="197"/>
      <c r="G59" s="197"/>
      <c r="H59" s="197"/>
      <c r="I59" s="197"/>
      <c r="J59" s="196">
        <v>97.5</v>
      </c>
      <c r="K59" s="196">
        <v>15</v>
      </c>
      <c r="L59" s="196">
        <v>28</v>
      </c>
      <c r="M59" s="196">
        <v>15</v>
      </c>
      <c r="N59" s="196">
        <v>22</v>
      </c>
      <c r="O59" s="196">
        <f>SUM(K59:N59)</f>
        <v>80</v>
      </c>
      <c r="P59" s="196">
        <f>SUM(J59:N59)</f>
        <v>177.5</v>
      </c>
      <c r="Q59" s="196">
        <f t="shared" si="12"/>
        <v>68.25</v>
      </c>
      <c r="R59" s="196">
        <f t="shared" si="13"/>
        <v>24</v>
      </c>
      <c r="S59" s="196">
        <f t="shared" si="9"/>
        <v>92.25</v>
      </c>
      <c r="T59" s="194" t="s">
        <v>1275</v>
      </c>
    </row>
    <row r="60" spans="1:20">
      <c r="A60"/>
      <c r="B60"/>
    </row>
    <row r="61" spans="1:20">
      <c r="A61"/>
      <c r="B61"/>
    </row>
    <row r="62" spans="1:20">
      <c r="A62"/>
      <c r="B62"/>
    </row>
    <row r="63" spans="1:20">
      <c r="A63"/>
      <c r="B63"/>
    </row>
    <row r="64" spans="1:20">
      <c r="A64"/>
      <c r="B64"/>
    </row>
    <row r="65" spans="1:2">
      <c r="A65"/>
      <c r="B65"/>
    </row>
  </sheetData>
  <sortState ref="A2:U65">
    <sortCondition ref="U2:U65"/>
    <sortCondition descending="1" ref="S2:S6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55"/>
  <sheetViews>
    <sheetView rightToLeft="1" topLeftCell="A39" workbookViewId="0">
      <selection activeCell="E55" sqref="E2:E55"/>
    </sheetView>
  </sheetViews>
  <sheetFormatPr defaultColWidth="9.125" defaultRowHeight="21"/>
  <cols>
    <col min="1" max="1" width="5.125" style="199" bestFit="1" customWidth="1"/>
    <col min="2" max="2" width="10.125" style="199" bestFit="1" customWidth="1"/>
    <col min="3" max="3" width="24.75" style="199" customWidth="1"/>
    <col min="4" max="4" width="20.625" style="199" bestFit="1" customWidth="1"/>
    <col min="5" max="5" width="16.75" style="199" customWidth="1"/>
    <col min="6" max="6" width="6" style="199" bestFit="1" customWidth="1"/>
    <col min="7" max="7" width="5.25" style="199" bestFit="1" customWidth="1"/>
    <col min="8" max="8" width="17.75" style="199" customWidth="1"/>
    <col min="9" max="9" width="12" style="199" bestFit="1" customWidth="1"/>
    <col min="10" max="10" width="10.125" style="199" bestFit="1" customWidth="1"/>
    <col min="11" max="19" width="9.75" style="199" customWidth="1"/>
    <col min="20" max="20" width="17.375" style="199" bestFit="1" customWidth="1"/>
    <col min="21" max="21" width="33.375" style="199" bestFit="1" customWidth="1"/>
    <col min="22" max="16384" width="9.125" style="199"/>
  </cols>
  <sheetData>
    <row r="1" spans="1:21" ht="37.5">
      <c r="A1" s="35" t="s">
        <v>0</v>
      </c>
      <c r="B1" s="36" t="s">
        <v>4</v>
      </c>
      <c r="C1" s="36" t="s">
        <v>1218</v>
      </c>
      <c r="D1" s="36" t="s">
        <v>1</v>
      </c>
      <c r="E1" s="36" t="s">
        <v>50</v>
      </c>
      <c r="F1" s="35" t="s">
        <v>16</v>
      </c>
      <c r="G1" s="35" t="s">
        <v>15</v>
      </c>
      <c r="H1" s="36" t="s">
        <v>2</v>
      </c>
      <c r="I1" s="36" t="s">
        <v>14</v>
      </c>
      <c r="J1" s="35" t="s">
        <v>45</v>
      </c>
      <c r="K1" s="35" t="s">
        <v>9</v>
      </c>
      <c r="L1" s="35" t="s">
        <v>8</v>
      </c>
      <c r="M1" s="35" t="s">
        <v>7</v>
      </c>
      <c r="N1" s="35" t="s">
        <v>6</v>
      </c>
      <c r="O1" s="35" t="s">
        <v>46</v>
      </c>
      <c r="P1" s="35" t="s">
        <v>47</v>
      </c>
      <c r="Q1" s="35" t="s">
        <v>48</v>
      </c>
      <c r="R1" s="35" t="s">
        <v>1217</v>
      </c>
      <c r="S1" s="35" t="s">
        <v>49</v>
      </c>
      <c r="T1" s="35" t="s">
        <v>18</v>
      </c>
      <c r="U1" s="137"/>
    </row>
    <row r="2" spans="1:21" ht="20.100000000000001" customHeight="1">
      <c r="A2" s="204">
        <v>1</v>
      </c>
      <c r="B2" s="38"/>
      <c r="C2" s="37" t="s">
        <v>54</v>
      </c>
      <c r="D2" s="37" t="s">
        <v>1088</v>
      </c>
      <c r="E2" s="37"/>
      <c r="F2" s="37" t="s">
        <v>168</v>
      </c>
      <c r="G2" s="37" t="s">
        <v>79</v>
      </c>
      <c r="H2" s="37"/>
      <c r="I2" s="37" t="s">
        <v>24</v>
      </c>
      <c r="J2" s="27">
        <v>100</v>
      </c>
      <c r="K2" s="27">
        <v>12</v>
      </c>
      <c r="L2" s="27">
        <v>27</v>
      </c>
      <c r="M2" s="27">
        <v>21.25</v>
      </c>
      <c r="N2" s="27">
        <v>13.25</v>
      </c>
      <c r="O2" s="38">
        <f t="shared" ref="O2:O33" si="0">K2+L2+M2+N2</f>
        <v>73.5</v>
      </c>
      <c r="P2" s="27">
        <f t="shared" ref="P2:P33" si="1">SUM(J2:N2)</f>
        <v>173.5</v>
      </c>
      <c r="Q2" s="27">
        <f t="shared" ref="Q2:Q33" si="2">70% *J2</f>
        <v>70</v>
      </c>
      <c r="R2" s="27">
        <f t="shared" ref="R2:R33" si="3">30%*O2</f>
        <v>22.05</v>
      </c>
      <c r="S2" s="27">
        <f t="shared" ref="S2:S34" si="4">R2+Q2</f>
        <v>92.05</v>
      </c>
      <c r="T2" s="38"/>
    </row>
    <row r="3" spans="1:21" ht="20.100000000000001" customHeight="1">
      <c r="A3" s="204">
        <v>2</v>
      </c>
      <c r="B3" s="27"/>
      <c r="C3" s="38" t="s">
        <v>40</v>
      </c>
      <c r="D3" s="38" t="s">
        <v>1109</v>
      </c>
      <c r="E3" s="38"/>
      <c r="F3" s="38" t="s">
        <v>168</v>
      </c>
      <c r="G3" s="38" t="s">
        <v>79</v>
      </c>
      <c r="H3" s="38"/>
      <c r="I3" s="38" t="s">
        <v>24</v>
      </c>
      <c r="J3" s="27">
        <v>91.5</v>
      </c>
      <c r="K3" s="27">
        <v>15</v>
      </c>
      <c r="L3" s="27">
        <v>25</v>
      </c>
      <c r="M3" s="27">
        <v>21</v>
      </c>
      <c r="N3" s="27">
        <v>14.5</v>
      </c>
      <c r="O3" s="38">
        <f t="shared" si="0"/>
        <v>75.5</v>
      </c>
      <c r="P3" s="27">
        <f t="shared" si="1"/>
        <v>167</v>
      </c>
      <c r="Q3" s="27">
        <f t="shared" si="2"/>
        <v>64.05</v>
      </c>
      <c r="R3" s="27">
        <f t="shared" si="3"/>
        <v>22.65</v>
      </c>
      <c r="S3" s="27">
        <f t="shared" si="4"/>
        <v>86.699999999999989</v>
      </c>
      <c r="T3" s="27"/>
    </row>
    <row r="4" spans="1:21" ht="20.100000000000001" customHeight="1">
      <c r="A4" s="204">
        <v>3</v>
      </c>
      <c r="B4" s="27"/>
      <c r="C4" s="37" t="s">
        <v>142</v>
      </c>
      <c r="D4" s="37" t="s">
        <v>1075</v>
      </c>
      <c r="E4" s="37"/>
      <c r="F4" s="37" t="s">
        <v>190</v>
      </c>
      <c r="G4" s="37" t="s">
        <v>103</v>
      </c>
      <c r="H4" s="37"/>
      <c r="I4" s="37" t="s">
        <v>24</v>
      </c>
      <c r="J4" s="27">
        <v>79</v>
      </c>
      <c r="K4" s="27">
        <v>15</v>
      </c>
      <c r="L4" s="27">
        <v>26</v>
      </c>
      <c r="M4" s="27">
        <v>21.5</v>
      </c>
      <c r="N4" s="27">
        <v>14</v>
      </c>
      <c r="O4" s="38">
        <f t="shared" si="0"/>
        <v>76.5</v>
      </c>
      <c r="P4" s="27">
        <f t="shared" si="1"/>
        <v>155.5</v>
      </c>
      <c r="Q4" s="27">
        <f t="shared" si="2"/>
        <v>55.3</v>
      </c>
      <c r="R4" s="27">
        <f t="shared" si="3"/>
        <v>22.95</v>
      </c>
      <c r="S4" s="27">
        <f t="shared" si="4"/>
        <v>78.25</v>
      </c>
      <c r="T4" s="27"/>
    </row>
    <row r="5" spans="1:21" ht="20.100000000000001" customHeight="1">
      <c r="A5" s="204">
        <v>4</v>
      </c>
      <c r="B5" s="27"/>
      <c r="C5" s="37" t="s">
        <v>71</v>
      </c>
      <c r="D5" s="37" t="s">
        <v>1063</v>
      </c>
      <c r="E5" s="37"/>
      <c r="F5" s="37" t="s">
        <v>168</v>
      </c>
      <c r="G5" s="37" t="s">
        <v>79</v>
      </c>
      <c r="H5" s="37"/>
      <c r="I5" s="37" t="s">
        <v>24</v>
      </c>
      <c r="J5" s="27">
        <v>70</v>
      </c>
      <c r="K5" s="27">
        <v>12.5</v>
      </c>
      <c r="L5" s="27">
        <v>26</v>
      </c>
      <c r="M5" s="27">
        <v>22</v>
      </c>
      <c r="N5" s="27">
        <v>14</v>
      </c>
      <c r="O5" s="38">
        <f t="shared" si="0"/>
        <v>74.5</v>
      </c>
      <c r="P5" s="27">
        <f t="shared" si="1"/>
        <v>144.5</v>
      </c>
      <c r="Q5" s="27">
        <f t="shared" si="2"/>
        <v>49</v>
      </c>
      <c r="R5" s="27">
        <f t="shared" si="3"/>
        <v>22.349999999999998</v>
      </c>
      <c r="S5" s="27">
        <f t="shared" si="4"/>
        <v>71.349999999999994</v>
      </c>
      <c r="T5" s="27"/>
    </row>
    <row r="6" spans="1:21" ht="20.100000000000001" customHeight="1">
      <c r="A6" s="204">
        <v>5</v>
      </c>
      <c r="B6" s="27"/>
      <c r="C6" s="37" t="s">
        <v>113</v>
      </c>
      <c r="D6" s="37" t="s">
        <v>1066</v>
      </c>
      <c r="E6" s="37"/>
      <c r="F6" s="37" t="s">
        <v>168</v>
      </c>
      <c r="G6" s="37" t="s">
        <v>79</v>
      </c>
      <c r="H6" s="37"/>
      <c r="I6" s="37" t="s">
        <v>24</v>
      </c>
      <c r="J6" s="27">
        <v>70</v>
      </c>
      <c r="K6" s="27">
        <v>15</v>
      </c>
      <c r="L6" s="27">
        <v>20</v>
      </c>
      <c r="M6" s="27">
        <v>21.5</v>
      </c>
      <c r="N6" s="27">
        <v>13.75</v>
      </c>
      <c r="O6" s="38">
        <f t="shared" si="0"/>
        <v>70.25</v>
      </c>
      <c r="P6" s="27">
        <f t="shared" si="1"/>
        <v>140.25</v>
      </c>
      <c r="Q6" s="27">
        <f t="shared" si="2"/>
        <v>49</v>
      </c>
      <c r="R6" s="27">
        <f t="shared" si="3"/>
        <v>21.074999999999999</v>
      </c>
      <c r="S6" s="27">
        <f t="shared" si="4"/>
        <v>70.075000000000003</v>
      </c>
      <c r="T6" s="27"/>
    </row>
    <row r="7" spans="1:21" ht="20.100000000000001" customHeight="1">
      <c r="A7" s="204">
        <v>6</v>
      </c>
      <c r="B7" s="41"/>
      <c r="C7" s="139" t="s">
        <v>72</v>
      </c>
      <c r="D7" s="139" t="s">
        <v>1195</v>
      </c>
      <c r="E7" s="201"/>
      <c r="F7" s="139" t="s">
        <v>168</v>
      </c>
      <c r="G7" s="139" t="s">
        <v>79</v>
      </c>
      <c r="H7" s="201"/>
      <c r="I7" s="139" t="s">
        <v>26</v>
      </c>
      <c r="J7" s="139">
        <v>100</v>
      </c>
      <c r="K7" s="139">
        <v>15</v>
      </c>
      <c r="L7" s="139">
        <v>31</v>
      </c>
      <c r="M7" s="139">
        <v>22.25</v>
      </c>
      <c r="N7" s="139">
        <v>15.25</v>
      </c>
      <c r="O7" s="41">
        <f t="shared" si="0"/>
        <v>83.5</v>
      </c>
      <c r="P7" s="139">
        <f t="shared" si="1"/>
        <v>183.5</v>
      </c>
      <c r="Q7" s="139">
        <f t="shared" si="2"/>
        <v>70</v>
      </c>
      <c r="R7" s="139">
        <f t="shared" si="3"/>
        <v>25.05</v>
      </c>
      <c r="S7" s="139">
        <f t="shared" si="4"/>
        <v>95.05</v>
      </c>
      <c r="T7" s="41"/>
    </row>
    <row r="8" spans="1:21" ht="20.100000000000001" customHeight="1">
      <c r="A8" s="204">
        <v>7</v>
      </c>
      <c r="B8" s="41"/>
      <c r="C8" s="40" t="s">
        <v>69</v>
      </c>
      <c r="D8" s="40" t="s">
        <v>1072</v>
      </c>
      <c r="E8" s="40"/>
      <c r="F8" s="40" t="s">
        <v>168</v>
      </c>
      <c r="G8" s="40" t="s">
        <v>79</v>
      </c>
      <c r="H8" s="40"/>
      <c r="I8" s="40" t="s">
        <v>26</v>
      </c>
      <c r="J8" s="139">
        <v>100</v>
      </c>
      <c r="K8" s="139">
        <v>15</v>
      </c>
      <c r="L8" s="139">
        <v>30</v>
      </c>
      <c r="M8" s="139">
        <v>23</v>
      </c>
      <c r="N8" s="139">
        <v>15.25</v>
      </c>
      <c r="O8" s="41">
        <f t="shared" si="0"/>
        <v>83.25</v>
      </c>
      <c r="P8" s="139">
        <f t="shared" si="1"/>
        <v>183.25</v>
      </c>
      <c r="Q8" s="139">
        <f t="shared" si="2"/>
        <v>70</v>
      </c>
      <c r="R8" s="139">
        <f t="shared" si="3"/>
        <v>24.974999999999998</v>
      </c>
      <c r="S8" s="139">
        <f t="shared" si="4"/>
        <v>94.974999999999994</v>
      </c>
      <c r="T8" s="41"/>
    </row>
    <row r="9" spans="1:21" ht="20.100000000000001" customHeight="1">
      <c r="A9" s="204">
        <v>8</v>
      </c>
      <c r="B9" s="139"/>
      <c r="C9" s="40" t="s">
        <v>54</v>
      </c>
      <c r="D9" s="40" t="s">
        <v>1089</v>
      </c>
      <c r="E9" s="40"/>
      <c r="F9" s="40" t="s">
        <v>168</v>
      </c>
      <c r="G9" s="40" t="s">
        <v>79</v>
      </c>
      <c r="H9" s="40"/>
      <c r="I9" s="40" t="s">
        <v>26</v>
      </c>
      <c r="J9" s="139">
        <v>100</v>
      </c>
      <c r="K9" s="139">
        <v>15</v>
      </c>
      <c r="L9" s="139">
        <v>29</v>
      </c>
      <c r="M9" s="139">
        <v>23.5</v>
      </c>
      <c r="N9" s="139">
        <v>14.5</v>
      </c>
      <c r="O9" s="41">
        <f t="shared" si="0"/>
        <v>82</v>
      </c>
      <c r="P9" s="139">
        <f t="shared" si="1"/>
        <v>182</v>
      </c>
      <c r="Q9" s="139">
        <f t="shared" si="2"/>
        <v>70</v>
      </c>
      <c r="R9" s="139">
        <f t="shared" si="3"/>
        <v>24.599999999999998</v>
      </c>
      <c r="S9" s="139">
        <f t="shared" si="4"/>
        <v>94.6</v>
      </c>
      <c r="T9" s="139"/>
    </row>
    <row r="10" spans="1:21" ht="20.100000000000001" customHeight="1">
      <c r="A10" s="204">
        <v>9</v>
      </c>
      <c r="B10" s="139"/>
      <c r="C10" s="40" t="s">
        <v>69</v>
      </c>
      <c r="D10" s="40" t="s">
        <v>1073</v>
      </c>
      <c r="E10" s="40"/>
      <c r="F10" s="40" t="s">
        <v>168</v>
      </c>
      <c r="G10" s="40" t="s">
        <v>79</v>
      </c>
      <c r="H10" s="40"/>
      <c r="I10" s="40" t="s">
        <v>26</v>
      </c>
      <c r="J10" s="139">
        <v>99</v>
      </c>
      <c r="K10" s="139">
        <v>15</v>
      </c>
      <c r="L10" s="139">
        <v>30</v>
      </c>
      <c r="M10" s="139">
        <v>23.25</v>
      </c>
      <c r="N10" s="139">
        <v>15</v>
      </c>
      <c r="O10" s="41">
        <f t="shared" si="0"/>
        <v>83.25</v>
      </c>
      <c r="P10" s="139">
        <f t="shared" si="1"/>
        <v>182.25</v>
      </c>
      <c r="Q10" s="139">
        <f t="shared" si="2"/>
        <v>69.3</v>
      </c>
      <c r="R10" s="139">
        <f t="shared" si="3"/>
        <v>24.974999999999998</v>
      </c>
      <c r="S10" s="139">
        <f t="shared" si="4"/>
        <v>94.274999999999991</v>
      </c>
      <c r="T10" s="139"/>
    </row>
    <row r="11" spans="1:21" ht="20.100000000000001" customHeight="1">
      <c r="A11" s="204">
        <v>10</v>
      </c>
      <c r="B11" s="41"/>
      <c r="C11" s="40" t="s">
        <v>106</v>
      </c>
      <c r="D11" s="40" t="s">
        <v>1100</v>
      </c>
      <c r="E11" s="40"/>
      <c r="F11" s="40" t="s">
        <v>168</v>
      </c>
      <c r="G11" s="40" t="s">
        <v>79</v>
      </c>
      <c r="H11" s="40"/>
      <c r="I11" s="40" t="s">
        <v>26</v>
      </c>
      <c r="J11" s="139">
        <v>100</v>
      </c>
      <c r="K11" s="139">
        <v>15</v>
      </c>
      <c r="L11" s="139">
        <v>26</v>
      </c>
      <c r="M11" s="139">
        <v>20.5</v>
      </c>
      <c r="N11" s="139">
        <v>13.5</v>
      </c>
      <c r="O11" s="41">
        <f t="shared" si="0"/>
        <v>75</v>
      </c>
      <c r="P11" s="139">
        <f t="shared" si="1"/>
        <v>175</v>
      </c>
      <c r="Q11" s="139">
        <f t="shared" si="2"/>
        <v>70</v>
      </c>
      <c r="R11" s="139">
        <f t="shared" si="3"/>
        <v>22.5</v>
      </c>
      <c r="S11" s="139">
        <f t="shared" si="4"/>
        <v>92.5</v>
      </c>
      <c r="T11" s="41"/>
    </row>
    <row r="12" spans="1:21" ht="20.100000000000001" customHeight="1">
      <c r="A12" s="204">
        <v>11</v>
      </c>
      <c r="B12" s="41"/>
      <c r="C12" s="139" t="s">
        <v>75</v>
      </c>
      <c r="D12" s="139" t="s">
        <v>1196</v>
      </c>
      <c r="E12" s="202"/>
      <c r="F12" s="139" t="s">
        <v>168</v>
      </c>
      <c r="G12" s="139" t="s">
        <v>79</v>
      </c>
      <c r="H12" s="202"/>
      <c r="I12" s="139" t="s">
        <v>26</v>
      </c>
      <c r="J12" s="139">
        <v>100</v>
      </c>
      <c r="K12" s="139">
        <v>14</v>
      </c>
      <c r="L12" s="139">
        <v>26</v>
      </c>
      <c r="M12" s="139">
        <v>21</v>
      </c>
      <c r="N12" s="139">
        <v>14</v>
      </c>
      <c r="O12" s="41">
        <f t="shared" si="0"/>
        <v>75</v>
      </c>
      <c r="P12" s="139">
        <f t="shared" si="1"/>
        <v>175</v>
      </c>
      <c r="Q12" s="139">
        <f t="shared" si="2"/>
        <v>70</v>
      </c>
      <c r="R12" s="139">
        <f t="shared" si="3"/>
        <v>22.5</v>
      </c>
      <c r="S12" s="139">
        <f t="shared" si="4"/>
        <v>92.5</v>
      </c>
      <c r="T12" s="41"/>
    </row>
    <row r="13" spans="1:21" ht="20.100000000000001" customHeight="1">
      <c r="A13" s="204">
        <v>12</v>
      </c>
      <c r="B13" s="139"/>
      <c r="C13" s="40" t="s">
        <v>62</v>
      </c>
      <c r="D13" s="40" t="s">
        <v>1078</v>
      </c>
      <c r="E13" s="40"/>
      <c r="F13" s="40" t="s">
        <v>168</v>
      </c>
      <c r="G13" s="40" t="s">
        <v>79</v>
      </c>
      <c r="H13" s="40"/>
      <c r="I13" s="40" t="s">
        <v>26</v>
      </c>
      <c r="J13" s="139">
        <v>99</v>
      </c>
      <c r="K13" s="140">
        <v>11.5</v>
      </c>
      <c r="L13" s="139">
        <v>28</v>
      </c>
      <c r="M13" s="139">
        <v>22.75</v>
      </c>
      <c r="N13" s="139">
        <v>14.5</v>
      </c>
      <c r="O13" s="41">
        <f t="shared" si="0"/>
        <v>76.75</v>
      </c>
      <c r="P13" s="139">
        <f t="shared" si="1"/>
        <v>175.75</v>
      </c>
      <c r="Q13" s="139">
        <f t="shared" si="2"/>
        <v>69.3</v>
      </c>
      <c r="R13" s="139">
        <f t="shared" si="3"/>
        <v>23.024999999999999</v>
      </c>
      <c r="S13" s="139">
        <f t="shared" si="4"/>
        <v>92.324999999999989</v>
      </c>
      <c r="T13" s="139"/>
    </row>
    <row r="14" spans="1:21" ht="20.100000000000001" customHeight="1">
      <c r="A14" s="204">
        <v>13</v>
      </c>
      <c r="B14" s="139"/>
      <c r="C14" s="40" t="s">
        <v>90</v>
      </c>
      <c r="D14" s="40" t="s">
        <v>1076</v>
      </c>
      <c r="E14" s="40"/>
      <c r="F14" s="40" t="s">
        <v>223</v>
      </c>
      <c r="G14" s="40" t="s">
        <v>79</v>
      </c>
      <c r="H14" s="40"/>
      <c r="I14" s="40" t="s">
        <v>26</v>
      </c>
      <c r="J14" s="139">
        <v>95</v>
      </c>
      <c r="K14" s="139">
        <v>15</v>
      </c>
      <c r="L14" s="139">
        <v>28</v>
      </c>
      <c r="M14" s="139">
        <v>22.5</v>
      </c>
      <c r="N14" s="139">
        <v>15</v>
      </c>
      <c r="O14" s="41">
        <f t="shared" si="0"/>
        <v>80.5</v>
      </c>
      <c r="P14" s="139">
        <f t="shared" si="1"/>
        <v>175.5</v>
      </c>
      <c r="Q14" s="139">
        <f t="shared" si="2"/>
        <v>66.5</v>
      </c>
      <c r="R14" s="139">
        <f t="shared" si="3"/>
        <v>24.15</v>
      </c>
      <c r="S14" s="139">
        <f t="shared" si="4"/>
        <v>90.65</v>
      </c>
      <c r="T14" s="139"/>
    </row>
    <row r="15" spans="1:21" ht="20.100000000000001" customHeight="1">
      <c r="A15" s="204">
        <v>14</v>
      </c>
      <c r="B15" s="139"/>
      <c r="C15" s="40" t="s">
        <v>1095</v>
      </c>
      <c r="D15" s="40" t="s">
        <v>1094</v>
      </c>
      <c r="E15" s="40"/>
      <c r="F15" s="40" t="s">
        <v>168</v>
      </c>
      <c r="G15" s="40" t="s">
        <v>79</v>
      </c>
      <c r="H15" s="40"/>
      <c r="I15" s="40" t="s">
        <v>26</v>
      </c>
      <c r="J15" s="139">
        <v>96.5</v>
      </c>
      <c r="K15" s="140">
        <v>7.5</v>
      </c>
      <c r="L15" s="139">
        <v>27</v>
      </c>
      <c r="M15" s="139">
        <v>21</v>
      </c>
      <c r="N15" s="139">
        <v>14</v>
      </c>
      <c r="O15" s="41">
        <f t="shared" si="0"/>
        <v>69.5</v>
      </c>
      <c r="P15" s="139">
        <f t="shared" si="1"/>
        <v>166</v>
      </c>
      <c r="Q15" s="139">
        <f t="shared" si="2"/>
        <v>67.55</v>
      </c>
      <c r="R15" s="139">
        <f t="shared" si="3"/>
        <v>20.849999999999998</v>
      </c>
      <c r="S15" s="139">
        <f t="shared" si="4"/>
        <v>88.399999999999991</v>
      </c>
      <c r="T15" s="139"/>
    </row>
    <row r="16" spans="1:21" ht="20.100000000000001" customHeight="1">
      <c r="A16" s="204">
        <v>15</v>
      </c>
      <c r="B16" s="41"/>
      <c r="C16" s="139" t="s">
        <v>1194</v>
      </c>
      <c r="D16" s="139" t="s">
        <v>1080</v>
      </c>
      <c r="E16" s="203"/>
      <c r="F16" s="139" t="s">
        <v>168</v>
      </c>
      <c r="G16" s="139" t="s">
        <v>79</v>
      </c>
      <c r="H16" s="203"/>
      <c r="I16" s="139" t="s">
        <v>26</v>
      </c>
      <c r="J16" s="139">
        <v>90</v>
      </c>
      <c r="K16" s="139">
        <v>15</v>
      </c>
      <c r="L16" s="139">
        <v>29</v>
      </c>
      <c r="M16" s="139">
        <v>23</v>
      </c>
      <c r="N16" s="139">
        <v>14.75</v>
      </c>
      <c r="O16" s="41">
        <f t="shared" si="0"/>
        <v>81.75</v>
      </c>
      <c r="P16" s="139">
        <f t="shared" si="1"/>
        <v>171.75</v>
      </c>
      <c r="Q16" s="139">
        <f t="shared" si="2"/>
        <v>62.999999999999993</v>
      </c>
      <c r="R16" s="139">
        <f t="shared" si="3"/>
        <v>24.524999999999999</v>
      </c>
      <c r="S16" s="139">
        <f t="shared" si="4"/>
        <v>87.524999999999991</v>
      </c>
      <c r="T16" s="41"/>
    </row>
    <row r="17" spans="1:20" ht="20.100000000000001" customHeight="1">
      <c r="A17" s="204">
        <v>16</v>
      </c>
      <c r="B17" s="139"/>
      <c r="C17" s="40" t="s">
        <v>120</v>
      </c>
      <c r="D17" s="40" t="s">
        <v>1071</v>
      </c>
      <c r="E17" s="40"/>
      <c r="F17" s="40" t="s">
        <v>168</v>
      </c>
      <c r="G17" s="40" t="s">
        <v>79</v>
      </c>
      <c r="H17" s="40"/>
      <c r="I17" s="40" t="s">
        <v>26</v>
      </c>
      <c r="J17" s="139">
        <v>91.5</v>
      </c>
      <c r="K17" s="139">
        <v>15</v>
      </c>
      <c r="L17" s="139">
        <v>26</v>
      </c>
      <c r="M17" s="139">
        <v>21.75</v>
      </c>
      <c r="N17" s="139">
        <v>14.5</v>
      </c>
      <c r="O17" s="41">
        <f t="shared" si="0"/>
        <v>77.25</v>
      </c>
      <c r="P17" s="139">
        <f t="shared" si="1"/>
        <v>168.75</v>
      </c>
      <c r="Q17" s="139">
        <f t="shared" si="2"/>
        <v>64.05</v>
      </c>
      <c r="R17" s="139">
        <f t="shared" si="3"/>
        <v>23.175000000000001</v>
      </c>
      <c r="S17" s="139">
        <f t="shared" si="4"/>
        <v>87.224999999999994</v>
      </c>
      <c r="T17" s="139"/>
    </row>
    <row r="18" spans="1:20" ht="20.100000000000001" customHeight="1">
      <c r="A18" s="204">
        <v>17</v>
      </c>
      <c r="B18" s="139"/>
      <c r="C18" s="40" t="s">
        <v>61</v>
      </c>
      <c r="D18" s="40" t="s">
        <v>1082</v>
      </c>
      <c r="E18" s="40"/>
      <c r="F18" s="40" t="s">
        <v>168</v>
      </c>
      <c r="G18" s="40" t="s">
        <v>79</v>
      </c>
      <c r="H18" s="40"/>
      <c r="I18" s="40" t="s">
        <v>26</v>
      </c>
      <c r="J18" s="139">
        <v>94</v>
      </c>
      <c r="K18" s="139">
        <v>14</v>
      </c>
      <c r="L18" s="139">
        <v>23</v>
      </c>
      <c r="M18" s="139">
        <v>21</v>
      </c>
      <c r="N18" s="140">
        <v>12.5</v>
      </c>
      <c r="O18" s="41">
        <f t="shared" si="0"/>
        <v>70.5</v>
      </c>
      <c r="P18" s="139">
        <f t="shared" si="1"/>
        <v>164.5</v>
      </c>
      <c r="Q18" s="139">
        <f t="shared" si="2"/>
        <v>65.8</v>
      </c>
      <c r="R18" s="139">
        <f t="shared" si="3"/>
        <v>21.15</v>
      </c>
      <c r="S18" s="139">
        <f t="shared" si="4"/>
        <v>86.949999999999989</v>
      </c>
      <c r="T18" s="139"/>
    </row>
    <row r="19" spans="1:20" ht="20.100000000000001" customHeight="1">
      <c r="A19" s="204">
        <v>18</v>
      </c>
      <c r="B19" s="139"/>
      <c r="C19" s="40" t="s">
        <v>59</v>
      </c>
      <c r="D19" s="40" t="s">
        <v>1086</v>
      </c>
      <c r="E19" s="40"/>
      <c r="F19" s="40" t="s">
        <v>168</v>
      </c>
      <c r="G19" s="40" t="s">
        <v>79</v>
      </c>
      <c r="H19" s="40"/>
      <c r="I19" s="40" t="s">
        <v>433</v>
      </c>
      <c r="J19" s="139">
        <v>91.5</v>
      </c>
      <c r="K19" s="139">
        <v>13</v>
      </c>
      <c r="L19" s="139">
        <v>25</v>
      </c>
      <c r="M19" s="139">
        <v>21</v>
      </c>
      <c r="N19" s="139">
        <v>13.75</v>
      </c>
      <c r="O19" s="41">
        <f t="shared" si="0"/>
        <v>72.75</v>
      </c>
      <c r="P19" s="139">
        <f t="shared" si="1"/>
        <v>164.25</v>
      </c>
      <c r="Q19" s="139">
        <f t="shared" si="2"/>
        <v>64.05</v>
      </c>
      <c r="R19" s="139">
        <f t="shared" si="3"/>
        <v>21.824999999999999</v>
      </c>
      <c r="S19" s="139">
        <f t="shared" si="4"/>
        <v>85.875</v>
      </c>
      <c r="T19" s="139"/>
    </row>
    <row r="20" spans="1:20" ht="20.100000000000001" customHeight="1">
      <c r="A20" s="204">
        <v>19</v>
      </c>
      <c r="B20" s="41"/>
      <c r="C20" s="41" t="s">
        <v>75</v>
      </c>
      <c r="D20" s="41" t="s">
        <v>1106</v>
      </c>
      <c r="E20" s="49"/>
      <c r="F20" s="41" t="s">
        <v>168</v>
      </c>
      <c r="G20" s="41" t="s">
        <v>79</v>
      </c>
      <c r="H20" s="49"/>
      <c r="I20" s="41" t="s">
        <v>26</v>
      </c>
      <c r="J20" s="139">
        <v>94.5</v>
      </c>
      <c r="K20" s="139">
        <v>11</v>
      </c>
      <c r="L20" s="139">
        <v>20</v>
      </c>
      <c r="M20" s="139">
        <v>20.75</v>
      </c>
      <c r="N20" s="139">
        <v>13.5</v>
      </c>
      <c r="O20" s="41">
        <f t="shared" si="0"/>
        <v>65.25</v>
      </c>
      <c r="P20" s="139">
        <f t="shared" si="1"/>
        <v>159.75</v>
      </c>
      <c r="Q20" s="139">
        <f t="shared" si="2"/>
        <v>66.149999999999991</v>
      </c>
      <c r="R20" s="139">
        <f t="shared" si="3"/>
        <v>19.574999999999999</v>
      </c>
      <c r="S20" s="139">
        <f t="shared" si="4"/>
        <v>85.724999999999994</v>
      </c>
      <c r="T20" s="41"/>
    </row>
    <row r="21" spans="1:20" ht="20.100000000000001" customHeight="1">
      <c r="A21" s="204">
        <v>20</v>
      </c>
      <c r="B21" s="139"/>
      <c r="C21" s="40" t="s">
        <v>74</v>
      </c>
      <c r="D21" s="40" t="s">
        <v>1065</v>
      </c>
      <c r="E21" s="40"/>
      <c r="F21" s="40" t="s">
        <v>168</v>
      </c>
      <c r="G21" s="40" t="s">
        <v>79</v>
      </c>
      <c r="H21" s="40"/>
      <c r="I21" s="40" t="s">
        <v>26</v>
      </c>
      <c r="J21" s="139">
        <v>95</v>
      </c>
      <c r="K21" s="140">
        <v>12.5</v>
      </c>
      <c r="L21" s="139">
        <v>20</v>
      </c>
      <c r="M21" s="139">
        <v>20</v>
      </c>
      <c r="N21" s="139">
        <v>11</v>
      </c>
      <c r="O21" s="41">
        <f t="shared" si="0"/>
        <v>63.5</v>
      </c>
      <c r="P21" s="139">
        <f t="shared" si="1"/>
        <v>158.5</v>
      </c>
      <c r="Q21" s="139">
        <f t="shared" si="2"/>
        <v>66.5</v>
      </c>
      <c r="R21" s="139">
        <f t="shared" si="3"/>
        <v>19.05</v>
      </c>
      <c r="S21" s="139">
        <f t="shared" si="4"/>
        <v>85.55</v>
      </c>
      <c r="T21" s="139"/>
    </row>
    <row r="22" spans="1:20" ht="20.100000000000001" customHeight="1">
      <c r="A22" s="204">
        <v>21</v>
      </c>
      <c r="B22" s="139"/>
      <c r="C22" s="40" t="s">
        <v>80</v>
      </c>
      <c r="D22" s="40" t="s">
        <v>1064</v>
      </c>
      <c r="E22" s="40"/>
      <c r="F22" s="40" t="s">
        <v>168</v>
      </c>
      <c r="G22" s="40" t="s">
        <v>79</v>
      </c>
      <c r="H22" s="40"/>
      <c r="I22" s="40" t="s">
        <v>26</v>
      </c>
      <c r="J22" s="139">
        <v>87.5</v>
      </c>
      <c r="K22" s="139">
        <v>14</v>
      </c>
      <c r="L22" s="139">
        <v>28</v>
      </c>
      <c r="M22" s="139">
        <v>21.5</v>
      </c>
      <c r="N22" s="139">
        <v>14</v>
      </c>
      <c r="O22" s="41">
        <f t="shared" si="0"/>
        <v>77.5</v>
      </c>
      <c r="P22" s="139">
        <f t="shared" si="1"/>
        <v>165</v>
      </c>
      <c r="Q22" s="139">
        <f t="shared" si="2"/>
        <v>61.249999999999993</v>
      </c>
      <c r="R22" s="139">
        <f t="shared" si="3"/>
        <v>23.25</v>
      </c>
      <c r="S22" s="139">
        <f t="shared" si="4"/>
        <v>84.5</v>
      </c>
      <c r="T22" s="41"/>
    </row>
    <row r="23" spans="1:20" ht="20.100000000000001" customHeight="1">
      <c r="A23" s="204">
        <v>22</v>
      </c>
      <c r="B23" s="139"/>
      <c r="C23" s="48" t="s">
        <v>127</v>
      </c>
      <c r="D23" s="48" t="s">
        <v>1097</v>
      </c>
      <c r="E23" s="48"/>
      <c r="F23" s="48" t="s">
        <v>168</v>
      </c>
      <c r="G23" s="48" t="s">
        <v>103</v>
      </c>
      <c r="H23" s="48"/>
      <c r="I23" s="48" t="s">
        <v>26</v>
      </c>
      <c r="J23" s="139">
        <v>86.5</v>
      </c>
      <c r="K23" s="139">
        <v>14</v>
      </c>
      <c r="L23" s="139">
        <v>30</v>
      </c>
      <c r="M23" s="139">
        <v>20</v>
      </c>
      <c r="N23" s="139">
        <v>13</v>
      </c>
      <c r="O23" s="41">
        <f t="shared" si="0"/>
        <v>77</v>
      </c>
      <c r="P23" s="139">
        <f t="shared" si="1"/>
        <v>163.5</v>
      </c>
      <c r="Q23" s="139">
        <f t="shared" si="2"/>
        <v>60.55</v>
      </c>
      <c r="R23" s="139">
        <f t="shared" si="3"/>
        <v>23.099999999999998</v>
      </c>
      <c r="S23" s="139">
        <f t="shared" si="4"/>
        <v>83.649999999999991</v>
      </c>
      <c r="T23" s="139"/>
    </row>
    <row r="24" spans="1:20" ht="20.100000000000001" customHeight="1">
      <c r="A24" s="204">
        <v>23</v>
      </c>
      <c r="B24" s="139"/>
      <c r="C24" s="40" t="s">
        <v>30</v>
      </c>
      <c r="D24" s="40" t="s">
        <v>1077</v>
      </c>
      <c r="E24" s="40"/>
      <c r="F24" s="40" t="s">
        <v>168</v>
      </c>
      <c r="G24" s="40" t="s">
        <v>79</v>
      </c>
      <c r="H24" s="40"/>
      <c r="I24" s="40" t="s">
        <v>26</v>
      </c>
      <c r="J24" s="139">
        <v>86.5</v>
      </c>
      <c r="K24" s="139">
        <v>14</v>
      </c>
      <c r="L24" s="139">
        <v>26</v>
      </c>
      <c r="M24" s="139">
        <v>21</v>
      </c>
      <c r="N24" s="139">
        <v>14.25</v>
      </c>
      <c r="O24" s="41">
        <f t="shared" si="0"/>
        <v>75.25</v>
      </c>
      <c r="P24" s="139">
        <f t="shared" si="1"/>
        <v>161.75</v>
      </c>
      <c r="Q24" s="139">
        <f t="shared" si="2"/>
        <v>60.55</v>
      </c>
      <c r="R24" s="139">
        <f t="shared" si="3"/>
        <v>22.574999999999999</v>
      </c>
      <c r="S24" s="139">
        <f t="shared" si="4"/>
        <v>83.125</v>
      </c>
      <c r="T24" s="139"/>
    </row>
    <row r="25" spans="1:20" ht="20.100000000000001" customHeight="1">
      <c r="A25" s="204">
        <v>24</v>
      </c>
      <c r="B25" s="139"/>
      <c r="C25" s="40" t="s">
        <v>53</v>
      </c>
      <c r="D25" s="40" t="s">
        <v>1093</v>
      </c>
      <c r="E25" s="40"/>
      <c r="F25" s="40" t="s">
        <v>168</v>
      </c>
      <c r="G25" s="40" t="s">
        <v>79</v>
      </c>
      <c r="H25" s="40"/>
      <c r="I25" s="40" t="s">
        <v>26</v>
      </c>
      <c r="J25" s="139">
        <v>81</v>
      </c>
      <c r="K25" s="139">
        <v>15</v>
      </c>
      <c r="L25" s="139">
        <v>20</v>
      </c>
      <c r="M25" s="139">
        <v>20.5</v>
      </c>
      <c r="N25" s="139">
        <v>13</v>
      </c>
      <c r="O25" s="41">
        <f t="shared" si="0"/>
        <v>68.5</v>
      </c>
      <c r="P25" s="139">
        <f t="shared" si="1"/>
        <v>149.5</v>
      </c>
      <c r="Q25" s="139">
        <f t="shared" si="2"/>
        <v>56.699999999999996</v>
      </c>
      <c r="R25" s="139">
        <f t="shared" si="3"/>
        <v>20.55</v>
      </c>
      <c r="S25" s="139">
        <f t="shared" si="4"/>
        <v>77.25</v>
      </c>
      <c r="T25" s="139"/>
    </row>
    <row r="26" spans="1:20" ht="20.100000000000001" customHeight="1">
      <c r="A26" s="204">
        <v>25</v>
      </c>
      <c r="B26" s="139"/>
      <c r="C26" s="41" t="s">
        <v>52</v>
      </c>
      <c r="D26" s="41" t="s">
        <v>1096</v>
      </c>
      <c r="E26" s="41"/>
      <c r="F26" s="41" t="s">
        <v>168</v>
      </c>
      <c r="G26" s="41" t="s">
        <v>79</v>
      </c>
      <c r="H26" s="41"/>
      <c r="I26" s="41" t="s">
        <v>26</v>
      </c>
      <c r="J26" s="139">
        <v>70</v>
      </c>
      <c r="K26" s="140">
        <v>12.5</v>
      </c>
      <c r="L26" s="139">
        <v>20</v>
      </c>
      <c r="M26" s="139">
        <v>20</v>
      </c>
      <c r="N26" s="139">
        <v>12</v>
      </c>
      <c r="O26" s="41">
        <f t="shared" si="0"/>
        <v>64.5</v>
      </c>
      <c r="P26" s="139">
        <f t="shared" si="1"/>
        <v>134.5</v>
      </c>
      <c r="Q26" s="139">
        <f t="shared" si="2"/>
        <v>49</v>
      </c>
      <c r="R26" s="139">
        <f t="shared" si="3"/>
        <v>19.349999999999998</v>
      </c>
      <c r="S26" s="139">
        <f t="shared" si="4"/>
        <v>68.349999999999994</v>
      </c>
      <c r="T26" s="139"/>
    </row>
    <row r="27" spans="1:20" ht="20.100000000000001" customHeight="1">
      <c r="A27" s="204">
        <v>26</v>
      </c>
      <c r="B27" s="41"/>
      <c r="C27" s="139" t="s">
        <v>139</v>
      </c>
      <c r="D27" s="41" t="s">
        <v>1108</v>
      </c>
      <c r="E27" s="41"/>
      <c r="F27" s="41" t="s">
        <v>168</v>
      </c>
      <c r="G27" s="41" t="s">
        <v>79</v>
      </c>
      <c r="H27" s="41"/>
      <c r="I27" s="41" t="s">
        <v>26</v>
      </c>
      <c r="J27" s="139">
        <v>50</v>
      </c>
      <c r="K27" s="139">
        <v>10</v>
      </c>
      <c r="L27" s="139">
        <v>24</v>
      </c>
      <c r="M27" s="139">
        <v>21</v>
      </c>
      <c r="N27" s="139">
        <v>13</v>
      </c>
      <c r="O27" s="41">
        <f t="shared" si="0"/>
        <v>68</v>
      </c>
      <c r="P27" s="139">
        <f t="shared" si="1"/>
        <v>118</v>
      </c>
      <c r="Q27" s="139">
        <f t="shared" si="2"/>
        <v>35</v>
      </c>
      <c r="R27" s="139">
        <f t="shared" si="3"/>
        <v>20.399999999999999</v>
      </c>
      <c r="S27" s="139">
        <f t="shared" si="4"/>
        <v>55.4</v>
      </c>
      <c r="T27" s="41"/>
    </row>
    <row r="28" spans="1:20" ht="20.100000000000001" customHeight="1">
      <c r="A28" s="204">
        <v>27</v>
      </c>
      <c r="B28" s="139"/>
      <c r="C28" s="41" t="s">
        <v>1103</v>
      </c>
      <c r="D28" s="41" t="s">
        <v>1102</v>
      </c>
      <c r="E28" s="42"/>
      <c r="F28" s="41" t="s">
        <v>168</v>
      </c>
      <c r="G28" s="41" t="s">
        <v>103</v>
      </c>
      <c r="H28" s="43"/>
      <c r="I28" s="41" t="s">
        <v>26</v>
      </c>
      <c r="J28" s="41">
        <v>30</v>
      </c>
      <c r="K28" s="41">
        <v>13</v>
      </c>
      <c r="L28" s="41">
        <v>22</v>
      </c>
      <c r="M28" s="41">
        <v>19</v>
      </c>
      <c r="N28" s="41">
        <v>11</v>
      </c>
      <c r="O28" s="41">
        <f>K28+L28+M28+N28</f>
        <v>65</v>
      </c>
      <c r="P28" s="139">
        <f>SUM(J28:N28)</f>
        <v>95</v>
      </c>
      <c r="Q28" s="139">
        <f>70% *J28</f>
        <v>21</v>
      </c>
      <c r="R28" s="139">
        <f>30%*O28</f>
        <v>19.5</v>
      </c>
      <c r="S28" s="139">
        <f>R28+Q28</f>
        <v>40.5</v>
      </c>
      <c r="T28" s="41"/>
    </row>
    <row r="29" spans="1:20" ht="20.100000000000001" customHeight="1">
      <c r="A29" s="204">
        <v>28</v>
      </c>
      <c r="B29" s="139"/>
      <c r="C29" s="40" t="s">
        <v>87</v>
      </c>
      <c r="D29" s="40" t="s">
        <v>1069</v>
      </c>
      <c r="E29" s="40"/>
      <c r="F29" s="40" t="s">
        <v>168</v>
      </c>
      <c r="G29" s="40" t="s">
        <v>79</v>
      </c>
      <c r="H29" s="40"/>
      <c r="I29" s="40" t="s">
        <v>26</v>
      </c>
      <c r="J29" s="41"/>
      <c r="K29" s="40"/>
      <c r="L29" s="139"/>
      <c r="M29" s="139"/>
      <c r="N29" s="139"/>
      <c r="O29" s="41">
        <f t="shared" si="0"/>
        <v>0</v>
      </c>
      <c r="P29" s="139">
        <f t="shared" si="1"/>
        <v>0</v>
      </c>
      <c r="Q29" s="139">
        <f t="shared" si="2"/>
        <v>0</v>
      </c>
      <c r="R29" s="139">
        <f t="shared" si="3"/>
        <v>0</v>
      </c>
      <c r="S29" s="139">
        <f t="shared" si="4"/>
        <v>0</v>
      </c>
      <c r="T29" s="41" t="s">
        <v>1277</v>
      </c>
    </row>
    <row r="30" spans="1:20" ht="20.100000000000001" customHeight="1">
      <c r="A30" s="204">
        <v>29</v>
      </c>
      <c r="B30" s="41"/>
      <c r="C30" s="41" t="s">
        <v>75</v>
      </c>
      <c r="D30" s="41" t="s">
        <v>1105</v>
      </c>
      <c r="E30" s="49"/>
      <c r="F30" s="41" t="s">
        <v>168</v>
      </c>
      <c r="G30" s="41" t="s">
        <v>79</v>
      </c>
      <c r="H30" s="49"/>
      <c r="I30" s="41" t="s">
        <v>26</v>
      </c>
      <c r="J30" s="41"/>
      <c r="K30" s="41"/>
      <c r="L30" s="139"/>
      <c r="M30" s="139"/>
      <c r="N30" s="139"/>
      <c r="O30" s="41">
        <f t="shared" si="0"/>
        <v>0</v>
      </c>
      <c r="P30" s="139">
        <f t="shared" si="1"/>
        <v>0</v>
      </c>
      <c r="Q30" s="139">
        <f t="shared" si="2"/>
        <v>0</v>
      </c>
      <c r="R30" s="139">
        <f t="shared" si="3"/>
        <v>0</v>
      </c>
      <c r="S30" s="139">
        <f t="shared" si="4"/>
        <v>0</v>
      </c>
      <c r="T30" s="41" t="s">
        <v>1277</v>
      </c>
    </row>
    <row r="31" spans="1:20" ht="20.100000000000001" customHeight="1">
      <c r="A31" s="204">
        <v>30</v>
      </c>
      <c r="B31" s="139"/>
      <c r="C31" s="40" t="s">
        <v>159</v>
      </c>
      <c r="D31" s="40" t="s">
        <v>1091</v>
      </c>
      <c r="E31" s="40"/>
      <c r="F31" s="40" t="s">
        <v>168</v>
      </c>
      <c r="G31" s="40" t="s">
        <v>79</v>
      </c>
      <c r="H31" s="40"/>
      <c r="I31" s="40" t="s">
        <v>26</v>
      </c>
      <c r="J31" s="41"/>
      <c r="K31" s="40"/>
      <c r="L31" s="139"/>
      <c r="M31" s="139"/>
      <c r="N31" s="139"/>
      <c r="O31" s="41">
        <f t="shared" ref="O31" si="5">K31+L31+M31+N31</f>
        <v>0</v>
      </c>
      <c r="P31" s="139">
        <f t="shared" ref="P31" si="6">SUM(J31:N31)</f>
        <v>0</v>
      </c>
      <c r="Q31" s="139">
        <f t="shared" ref="Q31" si="7">70% *J31</f>
        <v>0</v>
      </c>
      <c r="R31" s="139">
        <f t="shared" ref="R31" si="8">30%*O31</f>
        <v>0</v>
      </c>
      <c r="S31" s="139">
        <f t="shared" si="4"/>
        <v>0</v>
      </c>
      <c r="T31" s="41" t="s">
        <v>1277</v>
      </c>
    </row>
    <row r="32" spans="1:20" ht="20.100000000000001" customHeight="1">
      <c r="A32" s="204">
        <v>31</v>
      </c>
      <c r="B32" s="139"/>
      <c r="C32" s="40" t="s">
        <v>34</v>
      </c>
      <c r="D32" s="40" t="s">
        <v>1087</v>
      </c>
      <c r="E32" s="40"/>
      <c r="F32" s="40" t="s">
        <v>168</v>
      </c>
      <c r="G32" s="40" t="s">
        <v>103</v>
      </c>
      <c r="H32" s="40"/>
      <c r="I32" s="40" t="s">
        <v>26</v>
      </c>
      <c r="J32" s="41"/>
      <c r="K32" s="40"/>
      <c r="L32" s="139"/>
      <c r="M32" s="139"/>
      <c r="N32" s="139"/>
      <c r="O32" s="41">
        <f t="shared" si="0"/>
        <v>0</v>
      </c>
      <c r="P32" s="139">
        <f t="shared" si="1"/>
        <v>0</v>
      </c>
      <c r="Q32" s="139">
        <f t="shared" si="2"/>
        <v>0</v>
      </c>
      <c r="R32" s="139">
        <f t="shared" si="3"/>
        <v>0</v>
      </c>
      <c r="S32" s="139">
        <f t="shared" si="4"/>
        <v>0</v>
      </c>
      <c r="T32" s="41" t="s">
        <v>1277</v>
      </c>
    </row>
    <row r="33" spans="1:20" ht="20.100000000000001" customHeight="1">
      <c r="A33" s="204">
        <v>32</v>
      </c>
      <c r="B33" s="139"/>
      <c r="C33" s="40" t="s">
        <v>61</v>
      </c>
      <c r="D33" s="40" t="s">
        <v>1083</v>
      </c>
      <c r="E33" s="40"/>
      <c r="F33" s="40" t="s">
        <v>168</v>
      </c>
      <c r="G33" s="40" t="s">
        <v>79</v>
      </c>
      <c r="H33" s="40"/>
      <c r="I33" s="40" t="s">
        <v>26</v>
      </c>
      <c r="J33" s="41"/>
      <c r="K33" s="40"/>
      <c r="L33" s="139"/>
      <c r="M33" s="139"/>
      <c r="N33" s="139"/>
      <c r="O33" s="41">
        <f t="shared" si="0"/>
        <v>0</v>
      </c>
      <c r="P33" s="139">
        <f t="shared" si="1"/>
        <v>0</v>
      </c>
      <c r="Q33" s="139">
        <f t="shared" si="2"/>
        <v>0</v>
      </c>
      <c r="R33" s="139">
        <f t="shared" si="3"/>
        <v>0</v>
      </c>
      <c r="S33" s="139">
        <f t="shared" si="4"/>
        <v>0</v>
      </c>
      <c r="T33" s="41" t="s">
        <v>1277</v>
      </c>
    </row>
    <row r="34" spans="1:20" ht="20.100000000000001" customHeight="1">
      <c r="A34" s="204">
        <v>33</v>
      </c>
      <c r="B34" s="139"/>
      <c r="C34" s="40" t="s">
        <v>61</v>
      </c>
      <c r="D34" s="40" t="s">
        <v>1080</v>
      </c>
      <c r="E34" s="40"/>
      <c r="F34" s="40" t="s">
        <v>168</v>
      </c>
      <c r="G34" s="40" t="s">
        <v>79</v>
      </c>
      <c r="H34" s="40"/>
      <c r="I34" s="40" t="s">
        <v>26</v>
      </c>
      <c r="J34" s="41"/>
      <c r="K34" s="40"/>
      <c r="L34" s="139"/>
      <c r="M34" s="139"/>
      <c r="N34" s="139"/>
      <c r="O34" s="41">
        <f t="shared" ref="O34:O55" si="9">K34+L34+M34+N34</f>
        <v>0</v>
      </c>
      <c r="P34" s="139">
        <f t="shared" ref="P34:P55" si="10">SUM(J34:N34)</f>
        <v>0</v>
      </c>
      <c r="Q34" s="139">
        <f t="shared" ref="Q34:Q55" si="11">70% *J34</f>
        <v>0</v>
      </c>
      <c r="R34" s="139">
        <f t="shared" ref="R34:R55" si="12">30%*O34</f>
        <v>0</v>
      </c>
      <c r="S34" s="139">
        <f t="shared" si="4"/>
        <v>0</v>
      </c>
      <c r="T34" s="41" t="s">
        <v>1277</v>
      </c>
    </row>
    <row r="35" spans="1:20" ht="20.100000000000001" customHeight="1">
      <c r="A35" s="204">
        <v>34</v>
      </c>
      <c r="B35" s="139"/>
      <c r="C35" s="40" t="s">
        <v>87</v>
      </c>
      <c r="D35" s="40" t="s">
        <v>1070</v>
      </c>
      <c r="E35" s="40"/>
      <c r="F35" s="40" t="s">
        <v>168</v>
      </c>
      <c r="G35" s="40" t="s">
        <v>79</v>
      </c>
      <c r="H35" s="40"/>
      <c r="I35" s="40" t="s">
        <v>26</v>
      </c>
      <c r="J35" s="41"/>
      <c r="K35" s="40"/>
      <c r="L35" s="139"/>
      <c r="M35" s="139"/>
      <c r="N35" s="139"/>
      <c r="O35" s="41">
        <f t="shared" si="9"/>
        <v>0</v>
      </c>
      <c r="P35" s="139">
        <f t="shared" si="10"/>
        <v>0</v>
      </c>
      <c r="Q35" s="139">
        <f t="shared" si="11"/>
        <v>0</v>
      </c>
      <c r="R35" s="139">
        <f t="shared" si="12"/>
        <v>0</v>
      </c>
      <c r="S35" s="139">
        <f t="shared" ref="S35:S55" si="13">R35+Q35</f>
        <v>0</v>
      </c>
      <c r="T35" s="41" t="s">
        <v>1277</v>
      </c>
    </row>
    <row r="36" spans="1:20" ht="20.100000000000001" customHeight="1">
      <c r="A36" s="204">
        <v>35</v>
      </c>
      <c r="B36" s="139"/>
      <c r="C36" s="41" t="s">
        <v>54</v>
      </c>
      <c r="D36" s="41" t="s">
        <v>1090</v>
      </c>
      <c r="E36" s="41"/>
      <c r="F36" s="41" t="s">
        <v>168</v>
      </c>
      <c r="G36" s="41" t="s">
        <v>79</v>
      </c>
      <c r="H36" s="41"/>
      <c r="I36" s="41" t="s">
        <v>26</v>
      </c>
      <c r="J36" s="41"/>
      <c r="K36" s="41"/>
      <c r="L36" s="139"/>
      <c r="M36" s="139"/>
      <c r="N36" s="139"/>
      <c r="O36" s="41">
        <f t="shared" si="9"/>
        <v>0</v>
      </c>
      <c r="P36" s="139">
        <f t="shared" si="10"/>
        <v>0</v>
      </c>
      <c r="Q36" s="139">
        <f t="shared" si="11"/>
        <v>0</v>
      </c>
      <c r="R36" s="139">
        <f t="shared" si="12"/>
        <v>0</v>
      </c>
      <c r="S36" s="139">
        <f t="shared" si="13"/>
        <v>0</v>
      </c>
      <c r="T36" s="41" t="s">
        <v>1277</v>
      </c>
    </row>
    <row r="37" spans="1:20" ht="20.100000000000001" customHeight="1">
      <c r="A37" s="204">
        <v>36</v>
      </c>
      <c r="B37" s="41"/>
      <c r="C37" s="40" t="s">
        <v>106</v>
      </c>
      <c r="D37" s="40" t="s">
        <v>1101</v>
      </c>
      <c r="E37" s="40"/>
      <c r="F37" s="40" t="s">
        <v>168</v>
      </c>
      <c r="G37" s="40" t="s">
        <v>79</v>
      </c>
      <c r="H37" s="40"/>
      <c r="I37" s="40" t="s">
        <v>26</v>
      </c>
      <c r="J37" s="41"/>
      <c r="K37" s="40"/>
      <c r="L37" s="139"/>
      <c r="M37" s="139"/>
      <c r="N37" s="139"/>
      <c r="O37" s="41">
        <f t="shared" si="9"/>
        <v>0</v>
      </c>
      <c r="P37" s="139">
        <f t="shared" si="10"/>
        <v>0</v>
      </c>
      <c r="Q37" s="139">
        <f t="shared" si="11"/>
        <v>0</v>
      </c>
      <c r="R37" s="139">
        <f t="shared" si="12"/>
        <v>0</v>
      </c>
      <c r="S37" s="139">
        <f t="shared" si="13"/>
        <v>0</v>
      </c>
      <c r="T37" s="41" t="s">
        <v>1277</v>
      </c>
    </row>
    <row r="38" spans="1:20" ht="20.100000000000001" customHeight="1">
      <c r="A38" s="204">
        <v>37</v>
      </c>
      <c r="B38" s="138"/>
      <c r="C38" s="44" t="s">
        <v>61</v>
      </c>
      <c r="D38" s="44" t="s">
        <v>1079</v>
      </c>
      <c r="E38" s="44"/>
      <c r="F38" s="44" t="s">
        <v>168</v>
      </c>
      <c r="G38" s="44" t="s">
        <v>79</v>
      </c>
      <c r="H38" s="44"/>
      <c r="I38" s="44" t="s">
        <v>25</v>
      </c>
      <c r="J38" s="138">
        <v>96</v>
      </c>
      <c r="K38" s="138">
        <v>15</v>
      </c>
      <c r="L38" s="138">
        <v>29</v>
      </c>
      <c r="M38" s="138">
        <v>23</v>
      </c>
      <c r="N38" s="138">
        <v>15.5</v>
      </c>
      <c r="O38" s="45">
        <f t="shared" si="9"/>
        <v>82.5</v>
      </c>
      <c r="P38" s="138">
        <f t="shared" si="10"/>
        <v>178.5</v>
      </c>
      <c r="Q38" s="138">
        <f t="shared" si="11"/>
        <v>67.199999999999989</v>
      </c>
      <c r="R38" s="138">
        <f t="shared" si="12"/>
        <v>24.75</v>
      </c>
      <c r="S38" s="138">
        <f t="shared" si="13"/>
        <v>91.949999999999989</v>
      </c>
      <c r="T38" s="138"/>
    </row>
    <row r="39" spans="1:20" ht="20.100000000000001" customHeight="1">
      <c r="A39" s="204">
        <v>38</v>
      </c>
      <c r="B39" s="138"/>
      <c r="C39" s="45" t="s">
        <v>1235</v>
      </c>
      <c r="D39" s="138" t="s">
        <v>1198</v>
      </c>
      <c r="E39" s="200"/>
      <c r="F39" s="138"/>
      <c r="G39" s="138"/>
      <c r="H39" s="200"/>
      <c r="I39" s="44" t="s">
        <v>25</v>
      </c>
      <c r="J39" s="138">
        <v>96</v>
      </c>
      <c r="K39" s="138">
        <v>15</v>
      </c>
      <c r="L39" s="138">
        <v>27</v>
      </c>
      <c r="M39" s="138">
        <v>22.75</v>
      </c>
      <c r="N39" s="138">
        <v>15</v>
      </c>
      <c r="O39" s="45">
        <f t="shared" si="9"/>
        <v>79.75</v>
      </c>
      <c r="P39" s="138">
        <f t="shared" si="10"/>
        <v>175.75</v>
      </c>
      <c r="Q39" s="138">
        <f t="shared" si="11"/>
        <v>67.199999999999989</v>
      </c>
      <c r="R39" s="138">
        <f t="shared" si="12"/>
        <v>23.925000000000001</v>
      </c>
      <c r="S39" s="138">
        <f t="shared" si="13"/>
        <v>91.124999999999986</v>
      </c>
      <c r="T39" s="138"/>
    </row>
    <row r="40" spans="1:20" ht="20.100000000000001" customHeight="1">
      <c r="A40" s="204">
        <v>39</v>
      </c>
      <c r="B40" s="45"/>
      <c r="C40" s="138" t="s">
        <v>1186</v>
      </c>
      <c r="D40" s="138" t="s">
        <v>1197</v>
      </c>
      <c r="E40" s="45"/>
      <c r="F40" s="138" t="s">
        <v>168</v>
      </c>
      <c r="G40" s="138" t="s">
        <v>79</v>
      </c>
      <c r="H40" s="45"/>
      <c r="I40" s="138" t="s">
        <v>25</v>
      </c>
      <c r="J40" s="138">
        <v>95</v>
      </c>
      <c r="K40" s="138">
        <v>15</v>
      </c>
      <c r="L40" s="138">
        <v>27</v>
      </c>
      <c r="M40" s="138">
        <v>22.75</v>
      </c>
      <c r="N40" s="138">
        <v>15.25</v>
      </c>
      <c r="O40" s="45">
        <f t="shared" si="9"/>
        <v>80</v>
      </c>
      <c r="P40" s="138">
        <f t="shared" si="10"/>
        <v>175</v>
      </c>
      <c r="Q40" s="138">
        <f t="shared" si="11"/>
        <v>66.5</v>
      </c>
      <c r="R40" s="138">
        <f t="shared" si="12"/>
        <v>24</v>
      </c>
      <c r="S40" s="138">
        <f t="shared" si="13"/>
        <v>90.5</v>
      </c>
      <c r="T40" s="45"/>
    </row>
    <row r="41" spans="1:20" ht="20.100000000000001" customHeight="1">
      <c r="A41" s="204">
        <v>40</v>
      </c>
      <c r="B41" s="138"/>
      <c r="C41" s="44" t="s">
        <v>59</v>
      </c>
      <c r="D41" s="44" t="s">
        <v>1084</v>
      </c>
      <c r="E41" s="44"/>
      <c r="F41" s="44" t="s">
        <v>168</v>
      </c>
      <c r="G41" s="44" t="s">
        <v>79</v>
      </c>
      <c r="H41" s="44"/>
      <c r="I41" s="44" t="s">
        <v>259</v>
      </c>
      <c r="J41" s="138">
        <v>95.5</v>
      </c>
      <c r="K41" s="138">
        <v>15</v>
      </c>
      <c r="L41" s="138">
        <v>25</v>
      </c>
      <c r="M41" s="138">
        <v>21</v>
      </c>
      <c r="N41" s="138">
        <v>13.75</v>
      </c>
      <c r="O41" s="45">
        <f t="shared" si="9"/>
        <v>74.75</v>
      </c>
      <c r="P41" s="138">
        <f t="shared" si="10"/>
        <v>170.25</v>
      </c>
      <c r="Q41" s="138">
        <f t="shared" si="11"/>
        <v>66.849999999999994</v>
      </c>
      <c r="R41" s="138">
        <f t="shared" si="12"/>
        <v>22.425000000000001</v>
      </c>
      <c r="S41" s="138">
        <f t="shared" si="13"/>
        <v>89.274999999999991</v>
      </c>
      <c r="T41" s="138"/>
    </row>
    <row r="42" spans="1:20" ht="20.100000000000001" customHeight="1">
      <c r="A42" s="204">
        <v>41</v>
      </c>
      <c r="B42" s="45"/>
      <c r="C42" s="45" t="s">
        <v>40</v>
      </c>
      <c r="D42" s="45" t="s">
        <v>1110</v>
      </c>
      <c r="E42" s="45"/>
      <c r="F42" s="45" t="s">
        <v>168</v>
      </c>
      <c r="G42" s="45" t="s">
        <v>79</v>
      </c>
      <c r="H42" s="45"/>
      <c r="I42" s="45" t="s">
        <v>25</v>
      </c>
      <c r="J42" s="138">
        <v>93</v>
      </c>
      <c r="K42" s="138">
        <v>15</v>
      </c>
      <c r="L42" s="138">
        <v>23</v>
      </c>
      <c r="M42" s="138">
        <v>23</v>
      </c>
      <c r="N42" s="138">
        <v>15</v>
      </c>
      <c r="O42" s="45">
        <f t="shared" si="9"/>
        <v>76</v>
      </c>
      <c r="P42" s="138">
        <f t="shared" si="10"/>
        <v>169</v>
      </c>
      <c r="Q42" s="138">
        <f t="shared" si="11"/>
        <v>65.099999999999994</v>
      </c>
      <c r="R42" s="138">
        <f t="shared" si="12"/>
        <v>22.8</v>
      </c>
      <c r="S42" s="138">
        <f t="shared" si="13"/>
        <v>87.899999999999991</v>
      </c>
      <c r="T42" s="45"/>
    </row>
    <row r="43" spans="1:20">
      <c r="A43" s="204">
        <v>42</v>
      </c>
      <c r="B43" s="45"/>
      <c r="C43" s="45" t="s">
        <v>75</v>
      </c>
      <c r="D43" s="45" t="s">
        <v>1107</v>
      </c>
      <c r="E43" s="51"/>
      <c r="F43" s="45" t="s">
        <v>168</v>
      </c>
      <c r="G43" s="45" t="s">
        <v>79</v>
      </c>
      <c r="H43" s="51"/>
      <c r="I43" s="45" t="s">
        <v>25</v>
      </c>
      <c r="J43" s="138">
        <v>90.5</v>
      </c>
      <c r="K43" s="138">
        <v>15</v>
      </c>
      <c r="L43" s="138">
        <v>29</v>
      </c>
      <c r="M43" s="138">
        <v>22.25</v>
      </c>
      <c r="N43" s="138">
        <v>14.5</v>
      </c>
      <c r="O43" s="45">
        <f t="shared" si="9"/>
        <v>80.75</v>
      </c>
      <c r="P43" s="138">
        <f t="shared" si="10"/>
        <v>171.25</v>
      </c>
      <c r="Q43" s="138">
        <f t="shared" si="11"/>
        <v>63.349999999999994</v>
      </c>
      <c r="R43" s="138">
        <f t="shared" si="12"/>
        <v>24.224999999999998</v>
      </c>
      <c r="S43" s="138">
        <f t="shared" si="13"/>
        <v>87.574999999999989</v>
      </c>
      <c r="T43" s="45"/>
    </row>
    <row r="44" spans="1:20">
      <c r="A44" s="204">
        <v>43</v>
      </c>
      <c r="B44" s="45"/>
      <c r="C44" s="50" t="s">
        <v>127</v>
      </c>
      <c r="D44" s="50" t="s">
        <v>1098</v>
      </c>
      <c r="E44" s="50"/>
      <c r="F44" s="50" t="s">
        <v>168</v>
      </c>
      <c r="G44" s="50" t="s">
        <v>103</v>
      </c>
      <c r="H44" s="50"/>
      <c r="I44" s="50" t="s">
        <v>25</v>
      </c>
      <c r="J44" s="138">
        <v>94</v>
      </c>
      <c r="K44" s="138">
        <v>15</v>
      </c>
      <c r="L44" s="138">
        <v>22</v>
      </c>
      <c r="M44" s="138">
        <v>21</v>
      </c>
      <c r="N44" s="138">
        <v>13.5</v>
      </c>
      <c r="O44" s="45">
        <f t="shared" si="9"/>
        <v>71.5</v>
      </c>
      <c r="P44" s="138">
        <f t="shared" si="10"/>
        <v>165.5</v>
      </c>
      <c r="Q44" s="138">
        <f t="shared" si="11"/>
        <v>65.8</v>
      </c>
      <c r="R44" s="138">
        <f t="shared" si="12"/>
        <v>21.45</v>
      </c>
      <c r="S44" s="138">
        <f t="shared" si="13"/>
        <v>87.25</v>
      </c>
      <c r="T44" s="45"/>
    </row>
    <row r="45" spans="1:20" ht="22.5">
      <c r="A45" s="204">
        <v>44</v>
      </c>
      <c r="B45" s="138"/>
      <c r="C45" s="44" t="s">
        <v>132</v>
      </c>
      <c r="D45" s="44" t="s">
        <v>1061</v>
      </c>
      <c r="E45" s="44"/>
      <c r="F45" s="44" t="s">
        <v>168</v>
      </c>
      <c r="G45" s="44" t="s">
        <v>79</v>
      </c>
      <c r="H45" s="44"/>
      <c r="I45" s="44" t="s">
        <v>25</v>
      </c>
      <c r="J45" s="138">
        <v>80.5</v>
      </c>
      <c r="K45" s="138">
        <v>14</v>
      </c>
      <c r="L45" s="138">
        <v>26</v>
      </c>
      <c r="M45" s="138">
        <v>14</v>
      </c>
      <c r="N45" s="138">
        <v>21.5</v>
      </c>
      <c r="O45" s="45">
        <f t="shared" si="9"/>
        <v>75.5</v>
      </c>
      <c r="P45" s="138">
        <f t="shared" si="10"/>
        <v>156</v>
      </c>
      <c r="Q45" s="138">
        <f t="shared" si="11"/>
        <v>56.349999999999994</v>
      </c>
      <c r="R45" s="138">
        <f t="shared" si="12"/>
        <v>22.65</v>
      </c>
      <c r="S45" s="138">
        <f t="shared" si="13"/>
        <v>79</v>
      </c>
      <c r="T45" s="138"/>
    </row>
    <row r="46" spans="1:20">
      <c r="A46" s="204">
        <v>45</v>
      </c>
      <c r="B46" s="45"/>
      <c r="C46" s="138" t="s">
        <v>69</v>
      </c>
      <c r="D46" s="138" t="s">
        <v>1193</v>
      </c>
      <c r="E46" s="198"/>
      <c r="F46" s="138" t="s">
        <v>168</v>
      </c>
      <c r="G46" s="138" t="s">
        <v>79</v>
      </c>
      <c r="H46" s="198"/>
      <c r="I46" s="138" t="s">
        <v>25</v>
      </c>
      <c r="J46" s="138">
        <v>76.5</v>
      </c>
      <c r="K46" s="138">
        <v>15</v>
      </c>
      <c r="L46" s="138">
        <v>29</v>
      </c>
      <c r="M46" s="138">
        <v>23</v>
      </c>
      <c r="N46" s="138">
        <v>15</v>
      </c>
      <c r="O46" s="45">
        <f t="shared" si="9"/>
        <v>82</v>
      </c>
      <c r="P46" s="138">
        <f t="shared" si="10"/>
        <v>158.5</v>
      </c>
      <c r="Q46" s="138">
        <f t="shared" si="11"/>
        <v>53.55</v>
      </c>
      <c r="R46" s="138">
        <f t="shared" si="12"/>
        <v>24.599999999999998</v>
      </c>
      <c r="S46" s="138">
        <f t="shared" si="13"/>
        <v>78.149999999999991</v>
      </c>
      <c r="T46" s="45"/>
    </row>
    <row r="47" spans="1:20" ht="22.5">
      <c r="A47" s="204">
        <v>46</v>
      </c>
      <c r="B47" s="138"/>
      <c r="C47" s="44" t="s">
        <v>71</v>
      </c>
      <c r="D47" s="44" t="s">
        <v>1062</v>
      </c>
      <c r="E47" s="44"/>
      <c r="F47" s="44" t="s">
        <v>168</v>
      </c>
      <c r="G47" s="44" t="s">
        <v>79</v>
      </c>
      <c r="H47" s="44"/>
      <c r="I47" s="44" t="s">
        <v>25</v>
      </c>
      <c r="J47" s="138">
        <v>70</v>
      </c>
      <c r="K47" s="141">
        <v>6.5</v>
      </c>
      <c r="L47" s="138">
        <v>27</v>
      </c>
      <c r="M47" s="138">
        <v>23</v>
      </c>
      <c r="N47" s="138">
        <v>15.25</v>
      </c>
      <c r="O47" s="45">
        <f t="shared" si="9"/>
        <v>71.75</v>
      </c>
      <c r="P47" s="138">
        <f t="shared" si="10"/>
        <v>141.75</v>
      </c>
      <c r="Q47" s="138">
        <f t="shared" si="11"/>
        <v>49</v>
      </c>
      <c r="R47" s="138">
        <f t="shared" si="12"/>
        <v>21.524999999999999</v>
      </c>
      <c r="S47" s="138">
        <f t="shared" si="13"/>
        <v>70.525000000000006</v>
      </c>
      <c r="T47" s="138"/>
    </row>
    <row r="48" spans="1:20" ht="22.5">
      <c r="A48" s="204">
        <v>47</v>
      </c>
      <c r="B48" s="138"/>
      <c r="C48" s="44" t="s">
        <v>59</v>
      </c>
      <c r="D48" s="44" t="s">
        <v>1085</v>
      </c>
      <c r="E48" s="44"/>
      <c r="F48" s="44" t="s">
        <v>168</v>
      </c>
      <c r="G48" s="44" t="s">
        <v>79</v>
      </c>
      <c r="H48" s="44"/>
      <c r="I48" s="44" t="s">
        <v>259</v>
      </c>
      <c r="J48" s="45"/>
      <c r="K48" s="44"/>
      <c r="L48" s="138"/>
      <c r="M48" s="138"/>
      <c r="N48" s="138"/>
      <c r="O48" s="45">
        <f t="shared" si="9"/>
        <v>0</v>
      </c>
      <c r="P48" s="138">
        <f t="shared" si="10"/>
        <v>0</v>
      </c>
      <c r="Q48" s="138">
        <f t="shared" si="11"/>
        <v>0</v>
      </c>
      <c r="R48" s="138">
        <f t="shared" si="12"/>
        <v>0</v>
      </c>
      <c r="S48" s="138">
        <f t="shared" si="13"/>
        <v>0</v>
      </c>
      <c r="T48" s="138" t="s">
        <v>1277</v>
      </c>
    </row>
    <row r="49" spans="1:20" ht="22.5">
      <c r="A49" s="204">
        <v>48</v>
      </c>
      <c r="B49" s="138"/>
      <c r="C49" s="44" t="s">
        <v>53</v>
      </c>
      <c r="D49" s="44" t="s">
        <v>1092</v>
      </c>
      <c r="E49" s="44"/>
      <c r="F49" s="44" t="s">
        <v>168</v>
      </c>
      <c r="G49" s="44" t="s">
        <v>79</v>
      </c>
      <c r="H49" s="44"/>
      <c r="I49" s="44" t="s">
        <v>25</v>
      </c>
      <c r="J49" s="45"/>
      <c r="K49" s="44"/>
      <c r="L49" s="138"/>
      <c r="M49" s="138"/>
      <c r="N49" s="138"/>
      <c r="O49" s="45">
        <f t="shared" si="9"/>
        <v>0</v>
      </c>
      <c r="P49" s="138">
        <f t="shared" si="10"/>
        <v>0</v>
      </c>
      <c r="Q49" s="138">
        <f t="shared" si="11"/>
        <v>0</v>
      </c>
      <c r="R49" s="138">
        <f t="shared" si="12"/>
        <v>0</v>
      </c>
      <c r="S49" s="138">
        <f t="shared" si="13"/>
        <v>0</v>
      </c>
      <c r="T49" s="138" t="s">
        <v>1277</v>
      </c>
    </row>
    <row r="50" spans="1:20" ht="22.5">
      <c r="A50" s="204">
        <v>49</v>
      </c>
      <c r="B50" s="138"/>
      <c r="C50" s="44" t="s">
        <v>69</v>
      </c>
      <c r="D50" s="44" t="s">
        <v>1074</v>
      </c>
      <c r="E50" s="44"/>
      <c r="F50" s="44" t="s">
        <v>168</v>
      </c>
      <c r="G50" s="44" t="s">
        <v>79</v>
      </c>
      <c r="H50" s="44"/>
      <c r="I50" s="44" t="s">
        <v>25</v>
      </c>
      <c r="J50" s="45"/>
      <c r="K50" s="44"/>
      <c r="L50" s="138"/>
      <c r="M50" s="138"/>
      <c r="N50" s="138"/>
      <c r="O50" s="45">
        <f t="shared" si="9"/>
        <v>0</v>
      </c>
      <c r="P50" s="138">
        <f t="shared" si="10"/>
        <v>0</v>
      </c>
      <c r="Q50" s="138">
        <f t="shared" si="11"/>
        <v>0</v>
      </c>
      <c r="R50" s="138">
        <f t="shared" si="12"/>
        <v>0</v>
      </c>
      <c r="S50" s="138">
        <f t="shared" si="13"/>
        <v>0</v>
      </c>
      <c r="T50" s="138" t="s">
        <v>1277</v>
      </c>
    </row>
    <row r="51" spans="1:20">
      <c r="A51" s="204">
        <v>50</v>
      </c>
      <c r="B51" s="45"/>
      <c r="C51" s="45" t="s">
        <v>1103</v>
      </c>
      <c r="D51" s="45" t="s">
        <v>1104</v>
      </c>
      <c r="E51" s="46"/>
      <c r="F51" s="45" t="s">
        <v>168</v>
      </c>
      <c r="G51" s="45" t="s">
        <v>103</v>
      </c>
      <c r="H51" s="47"/>
      <c r="I51" s="45" t="s">
        <v>25</v>
      </c>
      <c r="J51" s="45"/>
      <c r="K51" s="45"/>
      <c r="L51" s="138"/>
      <c r="M51" s="138"/>
      <c r="N51" s="138"/>
      <c r="O51" s="45">
        <f t="shared" si="9"/>
        <v>0</v>
      </c>
      <c r="P51" s="138">
        <f t="shared" si="10"/>
        <v>0</v>
      </c>
      <c r="Q51" s="138">
        <f t="shared" si="11"/>
        <v>0</v>
      </c>
      <c r="R51" s="138">
        <f t="shared" si="12"/>
        <v>0</v>
      </c>
      <c r="S51" s="138">
        <f t="shared" si="13"/>
        <v>0</v>
      </c>
      <c r="T51" s="138" t="s">
        <v>1277</v>
      </c>
    </row>
    <row r="52" spans="1:20" ht="22.5">
      <c r="A52" s="204">
        <v>51</v>
      </c>
      <c r="B52" s="138"/>
      <c r="C52" s="44" t="s">
        <v>1017</v>
      </c>
      <c r="D52" s="44" t="s">
        <v>1068</v>
      </c>
      <c r="E52" s="44"/>
      <c r="F52" s="44" t="s">
        <v>168</v>
      </c>
      <c r="G52" s="44" t="s">
        <v>79</v>
      </c>
      <c r="H52" s="44"/>
      <c r="I52" s="44" t="s">
        <v>25</v>
      </c>
      <c r="J52" s="45"/>
      <c r="K52" s="44"/>
      <c r="L52" s="138"/>
      <c r="M52" s="138"/>
      <c r="N52" s="138"/>
      <c r="O52" s="45">
        <f t="shared" si="9"/>
        <v>0</v>
      </c>
      <c r="P52" s="138">
        <f t="shared" si="10"/>
        <v>0</v>
      </c>
      <c r="Q52" s="138">
        <f t="shared" si="11"/>
        <v>0</v>
      </c>
      <c r="R52" s="138">
        <f t="shared" si="12"/>
        <v>0</v>
      </c>
      <c r="S52" s="138">
        <f t="shared" si="13"/>
        <v>0</v>
      </c>
      <c r="T52" s="138" t="s">
        <v>1277</v>
      </c>
    </row>
    <row r="53" spans="1:20" ht="22.5">
      <c r="A53" s="204">
        <v>52</v>
      </c>
      <c r="B53" s="138"/>
      <c r="C53" s="44" t="s">
        <v>113</v>
      </c>
      <c r="D53" s="44" t="s">
        <v>1067</v>
      </c>
      <c r="E53" s="44"/>
      <c r="F53" s="44" t="s">
        <v>168</v>
      </c>
      <c r="G53" s="44" t="s">
        <v>79</v>
      </c>
      <c r="H53" s="44"/>
      <c r="I53" s="44" t="s">
        <v>25</v>
      </c>
      <c r="J53" s="45"/>
      <c r="K53" s="44"/>
      <c r="L53" s="138"/>
      <c r="M53" s="138"/>
      <c r="N53" s="138"/>
      <c r="O53" s="45">
        <f t="shared" si="9"/>
        <v>0</v>
      </c>
      <c r="P53" s="138">
        <f t="shared" si="10"/>
        <v>0</v>
      </c>
      <c r="Q53" s="138">
        <f t="shared" si="11"/>
        <v>0</v>
      </c>
      <c r="R53" s="138">
        <f t="shared" si="12"/>
        <v>0</v>
      </c>
      <c r="S53" s="138">
        <f t="shared" si="13"/>
        <v>0</v>
      </c>
      <c r="T53" s="138" t="s">
        <v>1277</v>
      </c>
    </row>
    <row r="54" spans="1:20" ht="22.5">
      <c r="A54" s="204">
        <v>53</v>
      </c>
      <c r="B54" s="138"/>
      <c r="C54" s="44" t="s">
        <v>61</v>
      </c>
      <c r="D54" s="44" t="s">
        <v>1081</v>
      </c>
      <c r="E54" s="44"/>
      <c r="F54" s="44" t="s">
        <v>168</v>
      </c>
      <c r="G54" s="44" t="s">
        <v>79</v>
      </c>
      <c r="H54" s="44"/>
      <c r="I54" s="44" t="s">
        <v>25</v>
      </c>
      <c r="J54" s="45"/>
      <c r="K54" s="44"/>
      <c r="L54" s="138"/>
      <c r="M54" s="138"/>
      <c r="N54" s="138"/>
      <c r="O54" s="45">
        <f t="shared" si="9"/>
        <v>0</v>
      </c>
      <c r="P54" s="138">
        <f t="shared" si="10"/>
        <v>0</v>
      </c>
      <c r="Q54" s="138">
        <f t="shared" si="11"/>
        <v>0</v>
      </c>
      <c r="R54" s="138">
        <f t="shared" si="12"/>
        <v>0</v>
      </c>
      <c r="S54" s="138">
        <f t="shared" si="13"/>
        <v>0</v>
      </c>
      <c r="T54" s="138" t="s">
        <v>1277</v>
      </c>
    </row>
    <row r="55" spans="1:20" ht="22.5">
      <c r="A55" s="204">
        <v>54</v>
      </c>
      <c r="B55" s="45"/>
      <c r="C55" s="44" t="s">
        <v>106</v>
      </c>
      <c r="D55" s="44" t="s">
        <v>1099</v>
      </c>
      <c r="E55" s="44"/>
      <c r="F55" s="44" t="s">
        <v>168</v>
      </c>
      <c r="G55" s="44" t="s">
        <v>79</v>
      </c>
      <c r="H55" s="44"/>
      <c r="I55" s="44" t="s">
        <v>25</v>
      </c>
      <c r="J55" s="45"/>
      <c r="K55" s="44"/>
      <c r="L55" s="138"/>
      <c r="M55" s="138"/>
      <c r="N55" s="138"/>
      <c r="O55" s="45">
        <f t="shared" si="9"/>
        <v>0</v>
      </c>
      <c r="P55" s="138">
        <f t="shared" si="10"/>
        <v>0</v>
      </c>
      <c r="Q55" s="138">
        <f t="shared" si="11"/>
        <v>0</v>
      </c>
      <c r="R55" s="138">
        <f t="shared" si="12"/>
        <v>0</v>
      </c>
      <c r="S55" s="138">
        <f t="shared" si="13"/>
        <v>0</v>
      </c>
      <c r="T55" s="138" t="s">
        <v>1277</v>
      </c>
    </row>
  </sheetData>
  <sortState ref="A2:U55">
    <sortCondition ref="U2:U55"/>
    <sortCondition descending="1" ref="S2:S55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37"/>
  <sheetViews>
    <sheetView rightToLeft="1" topLeftCell="A19" workbookViewId="0">
      <selection activeCell="E33" sqref="E2:E33"/>
    </sheetView>
  </sheetViews>
  <sheetFormatPr defaultColWidth="9.125" defaultRowHeight="21"/>
  <cols>
    <col min="1" max="1" width="9.375" style="199" bestFit="1" customWidth="1"/>
    <col min="2" max="2" width="10.125" style="199" bestFit="1" customWidth="1"/>
    <col min="3" max="3" width="19.875" style="199" customWidth="1"/>
    <col min="4" max="4" width="22.875" style="199" bestFit="1" customWidth="1"/>
    <col min="5" max="5" width="17.25" style="199" customWidth="1"/>
    <col min="6" max="6" width="6" style="199" bestFit="1" customWidth="1"/>
    <col min="7" max="7" width="14.875" style="199" customWidth="1"/>
    <col min="8" max="8" width="16.875" style="199" customWidth="1"/>
    <col min="9" max="9" width="12" style="199" bestFit="1" customWidth="1"/>
    <col min="10" max="10" width="10" style="199" bestFit="1" customWidth="1"/>
    <col min="11" max="19" width="9.75" style="199" customWidth="1"/>
    <col min="20" max="20" width="38.625" style="199" bestFit="1" customWidth="1"/>
    <col min="21" max="21" width="33.375" bestFit="1" customWidth="1"/>
    <col min="22" max="16384" width="9.125" style="199"/>
  </cols>
  <sheetData>
    <row r="1" spans="1:20" ht="37.5">
      <c r="A1" s="52" t="e">
        <f>A1:S25ردیف</f>
        <v>#NAME?</v>
      </c>
      <c r="B1" s="53" t="s">
        <v>4</v>
      </c>
      <c r="C1" s="53" t="s">
        <v>17</v>
      </c>
      <c r="D1" s="53" t="s">
        <v>1</v>
      </c>
      <c r="E1" s="53" t="s">
        <v>50</v>
      </c>
      <c r="F1" s="52" t="s">
        <v>16</v>
      </c>
      <c r="G1" s="52" t="s">
        <v>15</v>
      </c>
      <c r="H1" s="53" t="s">
        <v>2</v>
      </c>
      <c r="I1" s="54" t="s">
        <v>14</v>
      </c>
      <c r="J1" s="52" t="s">
        <v>45</v>
      </c>
      <c r="K1" s="55" t="s">
        <v>9</v>
      </c>
      <c r="L1" s="52" t="s">
        <v>8</v>
      </c>
      <c r="M1" s="52" t="s">
        <v>7</v>
      </c>
      <c r="N1" s="55" t="s">
        <v>6</v>
      </c>
      <c r="O1" s="55" t="s">
        <v>46</v>
      </c>
      <c r="P1" s="52" t="s">
        <v>47</v>
      </c>
      <c r="Q1" s="55" t="s">
        <v>48</v>
      </c>
      <c r="R1" s="55" t="s">
        <v>1217</v>
      </c>
      <c r="S1" s="55" t="s">
        <v>49</v>
      </c>
      <c r="T1" s="52" t="s">
        <v>18</v>
      </c>
    </row>
    <row r="2" spans="1:20" ht="20.100000000000001" customHeight="1">
      <c r="A2" s="211">
        <v>1</v>
      </c>
      <c r="B2" s="205"/>
      <c r="C2" s="56" t="s">
        <v>28</v>
      </c>
      <c r="D2" s="56" t="s">
        <v>1121</v>
      </c>
      <c r="E2" s="56"/>
      <c r="F2" s="56" t="s">
        <v>168</v>
      </c>
      <c r="G2" s="56" t="s">
        <v>79</v>
      </c>
      <c r="H2" s="56"/>
      <c r="I2" s="56" t="s">
        <v>24</v>
      </c>
      <c r="J2" s="64">
        <v>89</v>
      </c>
      <c r="K2" s="64">
        <v>15</v>
      </c>
      <c r="L2" s="64">
        <v>29</v>
      </c>
      <c r="M2" s="64">
        <v>21.5</v>
      </c>
      <c r="N2" s="64">
        <v>14.5</v>
      </c>
      <c r="O2" s="64">
        <f>SUM(K2:N2)</f>
        <v>80</v>
      </c>
      <c r="P2" s="64">
        <v>169</v>
      </c>
      <c r="Q2" s="205">
        <f>(70%*J2)</f>
        <v>62.3</v>
      </c>
      <c r="R2" s="205">
        <f>(30%*O2)</f>
        <v>24</v>
      </c>
      <c r="S2" s="205">
        <f>(70%*J2)+(30%*O2)</f>
        <v>86.3</v>
      </c>
      <c r="T2" s="205"/>
    </row>
    <row r="3" spans="1:20" ht="20.100000000000001" customHeight="1">
      <c r="A3" s="211">
        <v>2</v>
      </c>
      <c r="B3" s="205"/>
      <c r="C3" s="58" t="s">
        <v>52</v>
      </c>
      <c r="D3" s="58" t="s">
        <v>1131</v>
      </c>
      <c r="E3" s="58"/>
      <c r="F3" s="58" t="s">
        <v>168</v>
      </c>
      <c r="G3" s="58" t="s">
        <v>79</v>
      </c>
      <c r="H3" s="58"/>
      <c r="I3" s="58" t="s">
        <v>24</v>
      </c>
      <c r="J3" s="64">
        <v>85.5</v>
      </c>
      <c r="K3" s="64">
        <v>15</v>
      </c>
      <c r="L3" s="64">
        <v>28</v>
      </c>
      <c r="M3" s="64">
        <v>23</v>
      </c>
      <c r="N3" s="64">
        <v>15</v>
      </c>
      <c r="O3" s="64">
        <f>SUM(K3:N3)</f>
        <v>81</v>
      </c>
      <c r="P3" s="64">
        <v>166.5</v>
      </c>
      <c r="Q3" s="205">
        <f>(70%*J3)</f>
        <v>59.849999999999994</v>
      </c>
      <c r="R3" s="205">
        <f>(30%*O3)</f>
        <v>24.3</v>
      </c>
      <c r="S3" s="205">
        <f>(70%*J3)+(30%*O3)</f>
        <v>84.149999999999991</v>
      </c>
      <c r="T3" s="205"/>
    </row>
    <row r="4" spans="1:20" ht="20.100000000000001" customHeight="1">
      <c r="A4" s="211">
        <v>5</v>
      </c>
      <c r="B4" s="205"/>
      <c r="C4" s="56" t="s">
        <v>926</v>
      </c>
      <c r="D4" s="56" t="s">
        <v>1111</v>
      </c>
      <c r="E4" s="56"/>
      <c r="F4" s="56" t="s">
        <v>168</v>
      </c>
      <c r="G4" s="56" t="s">
        <v>79</v>
      </c>
      <c r="H4" s="56"/>
      <c r="I4" s="56" t="s">
        <v>24</v>
      </c>
      <c r="J4" s="64">
        <v>60</v>
      </c>
      <c r="K4" s="64">
        <v>15</v>
      </c>
      <c r="L4" s="64">
        <v>25</v>
      </c>
      <c r="M4" s="64">
        <v>13</v>
      </c>
      <c r="N4" s="64">
        <v>21</v>
      </c>
      <c r="O4" s="64">
        <f>SUM(K4:N4)</f>
        <v>74</v>
      </c>
      <c r="P4" s="64">
        <f>SUM(J4:N4)</f>
        <v>134</v>
      </c>
      <c r="Q4" s="205">
        <f>(70%*J4)</f>
        <v>42</v>
      </c>
      <c r="R4" s="205">
        <f>(30%*P4)</f>
        <v>40.199999999999996</v>
      </c>
      <c r="S4" s="205">
        <f>(70%*J4)+(30%*P4)</f>
        <v>82.199999999999989</v>
      </c>
      <c r="T4" s="205"/>
    </row>
    <row r="5" spans="1:20" ht="20.100000000000001" customHeight="1">
      <c r="A5" s="211">
        <v>3</v>
      </c>
      <c r="B5" s="205"/>
      <c r="C5" s="56" t="s">
        <v>132</v>
      </c>
      <c r="D5" s="56" t="s">
        <v>1112</v>
      </c>
      <c r="E5" s="56"/>
      <c r="F5" s="56" t="s">
        <v>168</v>
      </c>
      <c r="G5" s="56" t="s">
        <v>79</v>
      </c>
      <c r="H5" s="56"/>
      <c r="I5" s="56" t="s">
        <v>24</v>
      </c>
      <c r="J5" s="64">
        <v>75</v>
      </c>
      <c r="K5" s="64">
        <v>15</v>
      </c>
      <c r="L5" s="64">
        <v>26</v>
      </c>
      <c r="M5" s="64">
        <v>20.75</v>
      </c>
      <c r="N5" s="64">
        <v>13.5</v>
      </c>
      <c r="O5" s="64">
        <f>SUM(K5:N5)</f>
        <v>75.25</v>
      </c>
      <c r="P5" s="64">
        <v>150.25</v>
      </c>
      <c r="Q5" s="205">
        <f>(70%*J5)</f>
        <v>52.5</v>
      </c>
      <c r="R5" s="205">
        <f>(30%*O5)</f>
        <v>22.574999999999999</v>
      </c>
      <c r="S5" s="205">
        <f>(70%*J5)+(30%*O5)</f>
        <v>75.075000000000003</v>
      </c>
      <c r="T5" s="205"/>
    </row>
    <row r="6" spans="1:20" ht="20.100000000000001" customHeight="1">
      <c r="A6" s="211">
        <v>4</v>
      </c>
      <c r="B6" s="205"/>
      <c r="C6" s="205" t="s">
        <v>71</v>
      </c>
      <c r="D6" s="64" t="s">
        <v>1063</v>
      </c>
      <c r="E6" s="58"/>
      <c r="F6" s="205" t="s">
        <v>168</v>
      </c>
      <c r="G6" s="205" t="s">
        <v>79</v>
      </c>
      <c r="H6" s="58"/>
      <c r="I6" s="64" t="s">
        <v>24</v>
      </c>
      <c r="J6" s="64">
        <v>70</v>
      </c>
      <c r="K6" s="65">
        <v>12.5</v>
      </c>
      <c r="L6" s="64">
        <v>26</v>
      </c>
      <c r="M6" s="64">
        <v>22</v>
      </c>
      <c r="N6" s="64">
        <v>14</v>
      </c>
      <c r="O6" s="64">
        <f>SUM(K6:N6)</f>
        <v>74.5</v>
      </c>
      <c r="P6" s="64">
        <v>144.5</v>
      </c>
      <c r="Q6" s="205">
        <f>(70%*J6)</f>
        <v>49</v>
      </c>
      <c r="R6" s="205">
        <f>(30%*O6)</f>
        <v>22.349999999999998</v>
      </c>
      <c r="S6" s="205">
        <f>(70%*J6)+(30%*O6)</f>
        <v>71.349999999999994</v>
      </c>
      <c r="T6" s="205"/>
    </row>
    <row r="7" spans="1:20" ht="20.100000000000001" customHeight="1">
      <c r="A7" s="211">
        <v>6</v>
      </c>
      <c r="B7" s="205"/>
      <c r="C7" s="56" t="s">
        <v>114</v>
      </c>
      <c r="D7" s="56" t="s">
        <v>1115</v>
      </c>
      <c r="E7" s="56"/>
      <c r="F7" s="56" t="s">
        <v>168</v>
      </c>
      <c r="G7" s="56" t="s">
        <v>76</v>
      </c>
      <c r="H7" s="56"/>
      <c r="I7" s="56" t="s">
        <v>24</v>
      </c>
      <c r="J7" s="58"/>
      <c r="K7" s="56"/>
      <c r="L7" s="56"/>
      <c r="M7" s="205"/>
      <c r="N7" s="205"/>
      <c r="O7" s="205"/>
      <c r="P7" s="205"/>
      <c r="Q7" s="205"/>
      <c r="R7" s="205"/>
      <c r="S7" s="205"/>
      <c r="T7" s="205" t="s">
        <v>1277</v>
      </c>
    </row>
    <row r="8" spans="1:20" ht="20.100000000000001" customHeight="1">
      <c r="A8" s="211">
        <v>8</v>
      </c>
      <c r="B8" s="28"/>
      <c r="C8" s="59" t="s">
        <v>54</v>
      </c>
      <c r="D8" s="59" t="s">
        <v>1126</v>
      </c>
      <c r="E8" s="59"/>
      <c r="F8" s="59" t="s">
        <v>168</v>
      </c>
      <c r="G8" s="59" t="s">
        <v>79</v>
      </c>
      <c r="H8" s="59"/>
      <c r="I8" s="59" t="s">
        <v>26</v>
      </c>
      <c r="J8" s="28">
        <v>100</v>
      </c>
      <c r="K8" s="28">
        <v>15</v>
      </c>
      <c r="L8" s="28">
        <v>32</v>
      </c>
      <c r="M8" s="28">
        <v>25</v>
      </c>
      <c r="N8" s="28">
        <v>16</v>
      </c>
      <c r="O8" s="66">
        <f t="shared" ref="O8:O22" si="0">SUM(K8:N8)</f>
        <v>88</v>
      </c>
      <c r="P8" s="28">
        <v>188</v>
      </c>
      <c r="Q8" s="28">
        <f t="shared" ref="Q8:Q22" si="1">(70%*J8)</f>
        <v>70</v>
      </c>
      <c r="R8" s="28">
        <f t="shared" ref="R8:R22" si="2">(30%*O8)</f>
        <v>26.4</v>
      </c>
      <c r="S8" s="28">
        <f t="shared" ref="S8:S22" si="3">(70%*J8)+(30%*O8)</f>
        <v>96.4</v>
      </c>
      <c r="T8" s="28"/>
    </row>
    <row r="9" spans="1:20" ht="20.100000000000001" customHeight="1">
      <c r="A9" s="211">
        <v>9</v>
      </c>
      <c r="B9" s="28"/>
      <c r="C9" s="59" t="s">
        <v>159</v>
      </c>
      <c r="D9" s="59" t="s">
        <v>1128</v>
      </c>
      <c r="E9" s="59"/>
      <c r="F9" s="59" t="s">
        <v>168</v>
      </c>
      <c r="G9" s="59" t="s">
        <v>79</v>
      </c>
      <c r="H9" s="59"/>
      <c r="I9" s="59" t="s">
        <v>26</v>
      </c>
      <c r="J9" s="28">
        <v>100</v>
      </c>
      <c r="K9" s="28">
        <v>15</v>
      </c>
      <c r="L9" s="28">
        <v>30</v>
      </c>
      <c r="M9" s="28">
        <v>21.25</v>
      </c>
      <c r="N9" s="28">
        <v>14.75</v>
      </c>
      <c r="O9" s="66">
        <f t="shared" si="0"/>
        <v>81</v>
      </c>
      <c r="P9" s="28">
        <v>181</v>
      </c>
      <c r="Q9" s="28">
        <f t="shared" si="1"/>
        <v>70</v>
      </c>
      <c r="R9" s="28">
        <f t="shared" si="2"/>
        <v>24.3</v>
      </c>
      <c r="S9" s="28">
        <f t="shared" si="3"/>
        <v>94.3</v>
      </c>
      <c r="T9" s="28"/>
    </row>
    <row r="10" spans="1:20" ht="20.100000000000001" customHeight="1">
      <c r="A10" s="211">
        <v>10</v>
      </c>
      <c r="B10" s="60"/>
      <c r="C10" s="66" t="s">
        <v>1189</v>
      </c>
      <c r="D10" s="66" t="s">
        <v>1083</v>
      </c>
      <c r="E10" s="209"/>
      <c r="F10" s="28" t="s">
        <v>168</v>
      </c>
      <c r="G10" s="28" t="s">
        <v>79</v>
      </c>
      <c r="H10" s="209"/>
      <c r="I10" s="66" t="s">
        <v>26</v>
      </c>
      <c r="J10" s="66">
        <v>100</v>
      </c>
      <c r="K10" s="66">
        <v>15</v>
      </c>
      <c r="L10" s="66">
        <v>29</v>
      </c>
      <c r="M10" s="66">
        <v>21.5</v>
      </c>
      <c r="N10" s="66">
        <v>13.75</v>
      </c>
      <c r="O10" s="66">
        <f t="shared" si="0"/>
        <v>79.25</v>
      </c>
      <c r="P10" s="66">
        <v>179.25</v>
      </c>
      <c r="Q10" s="28">
        <f t="shared" si="1"/>
        <v>70</v>
      </c>
      <c r="R10" s="28">
        <f t="shared" si="2"/>
        <v>23.774999999999999</v>
      </c>
      <c r="S10" s="28">
        <f t="shared" si="3"/>
        <v>93.775000000000006</v>
      </c>
      <c r="T10" s="60"/>
    </row>
    <row r="11" spans="1:20" ht="20.100000000000001" customHeight="1">
      <c r="A11" s="211">
        <v>11</v>
      </c>
      <c r="B11" s="28"/>
      <c r="C11" s="59" t="s">
        <v>114</v>
      </c>
      <c r="D11" s="59" t="s">
        <v>1113</v>
      </c>
      <c r="E11" s="59"/>
      <c r="F11" s="59" t="s">
        <v>168</v>
      </c>
      <c r="G11" s="59" t="s">
        <v>76</v>
      </c>
      <c r="H11" s="59"/>
      <c r="I11" s="59" t="s">
        <v>26</v>
      </c>
      <c r="J11" s="66">
        <v>98.5</v>
      </c>
      <c r="K11" s="66">
        <v>15</v>
      </c>
      <c r="L11" s="66">
        <v>28</v>
      </c>
      <c r="M11" s="66">
        <v>23.25</v>
      </c>
      <c r="N11" s="66">
        <v>15.5</v>
      </c>
      <c r="O11" s="66">
        <f t="shared" si="0"/>
        <v>81.75</v>
      </c>
      <c r="P11" s="66">
        <v>180.25</v>
      </c>
      <c r="Q11" s="28">
        <f t="shared" si="1"/>
        <v>68.949999999999989</v>
      </c>
      <c r="R11" s="28">
        <f t="shared" si="2"/>
        <v>24.524999999999999</v>
      </c>
      <c r="S11" s="28">
        <f t="shared" si="3"/>
        <v>93.474999999999994</v>
      </c>
      <c r="T11" s="28"/>
    </row>
    <row r="12" spans="1:20" ht="20.100000000000001" customHeight="1">
      <c r="A12" s="211">
        <v>12</v>
      </c>
      <c r="B12" s="28"/>
      <c r="C12" s="59" t="s">
        <v>69</v>
      </c>
      <c r="D12" s="59" t="s">
        <v>1119</v>
      </c>
      <c r="E12" s="59"/>
      <c r="F12" s="59" t="s">
        <v>168</v>
      </c>
      <c r="G12" s="59" t="s">
        <v>79</v>
      </c>
      <c r="H12" s="59"/>
      <c r="I12" s="59" t="s">
        <v>26</v>
      </c>
      <c r="J12" s="66">
        <v>98.5</v>
      </c>
      <c r="K12" s="66">
        <v>15</v>
      </c>
      <c r="L12" s="28">
        <v>27</v>
      </c>
      <c r="M12" s="66">
        <v>23.5</v>
      </c>
      <c r="N12" s="28">
        <v>15.5</v>
      </c>
      <c r="O12" s="66">
        <f t="shared" si="0"/>
        <v>81</v>
      </c>
      <c r="P12" s="66">
        <v>179.5</v>
      </c>
      <c r="Q12" s="28">
        <f t="shared" si="1"/>
        <v>68.949999999999989</v>
      </c>
      <c r="R12" s="28">
        <f t="shared" si="2"/>
        <v>24.3</v>
      </c>
      <c r="S12" s="28">
        <f t="shared" si="3"/>
        <v>93.249999999999986</v>
      </c>
      <c r="T12" s="28"/>
    </row>
    <row r="13" spans="1:20" ht="20.100000000000001" customHeight="1">
      <c r="A13" s="211">
        <v>21</v>
      </c>
      <c r="B13" s="28"/>
      <c r="C13" s="59" t="s">
        <v>53</v>
      </c>
      <c r="D13" s="59" t="s">
        <v>1130</v>
      </c>
      <c r="E13" s="59"/>
      <c r="F13" s="59" t="s">
        <v>168</v>
      </c>
      <c r="G13" s="59" t="s">
        <v>79</v>
      </c>
      <c r="H13" s="59"/>
      <c r="I13" s="59" t="s">
        <v>26</v>
      </c>
      <c r="J13" s="60">
        <v>100</v>
      </c>
      <c r="K13" s="59">
        <v>15</v>
      </c>
      <c r="L13" s="59">
        <v>27</v>
      </c>
      <c r="M13" s="28">
        <v>21</v>
      </c>
      <c r="N13" s="28">
        <v>13</v>
      </c>
      <c r="O13" s="28">
        <f t="shared" si="0"/>
        <v>76</v>
      </c>
      <c r="P13" s="28">
        <v>176</v>
      </c>
      <c r="Q13" s="28">
        <f t="shared" si="1"/>
        <v>70</v>
      </c>
      <c r="R13" s="28">
        <f t="shared" si="2"/>
        <v>22.8</v>
      </c>
      <c r="S13" s="28">
        <f t="shared" si="3"/>
        <v>92.8</v>
      </c>
      <c r="T13" s="28"/>
    </row>
    <row r="14" spans="1:20" ht="20.100000000000001" customHeight="1">
      <c r="A14" s="211">
        <v>13</v>
      </c>
      <c r="B14" s="28"/>
      <c r="C14" s="59" t="s">
        <v>69</v>
      </c>
      <c r="D14" s="59" t="s">
        <v>1118</v>
      </c>
      <c r="E14" s="59"/>
      <c r="F14" s="59" t="s">
        <v>168</v>
      </c>
      <c r="G14" s="59" t="s">
        <v>79</v>
      </c>
      <c r="H14" s="59"/>
      <c r="I14" s="59" t="s">
        <v>26</v>
      </c>
      <c r="J14" s="66">
        <v>96</v>
      </c>
      <c r="K14" s="66">
        <v>15</v>
      </c>
      <c r="L14" s="66">
        <v>30</v>
      </c>
      <c r="M14" s="66">
        <v>23.5</v>
      </c>
      <c r="N14" s="66">
        <v>15.5</v>
      </c>
      <c r="O14" s="66">
        <f t="shared" si="0"/>
        <v>84</v>
      </c>
      <c r="P14" s="66">
        <v>180</v>
      </c>
      <c r="Q14" s="28">
        <f t="shared" si="1"/>
        <v>67.199999999999989</v>
      </c>
      <c r="R14" s="28">
        <f t="shared" si="2"/>
        <v>25.2</v>
      </c>
      <c r="S14" s="28">
        <f t="shared" si="3"/>
        <v>92.399999999999991</v>
      </c>
      <c r="T14" s="28"/>
    </row>
    <row r="15" spans="1:20" ht="20.100000000000001" customHeight="1">
      <c r="A15" s="211">
        <v>14</v>
      </c>
      <c r="B15" s="28"/>
      <c r="C15" s="60" t="s">
        <v>75</v>
      </c>
      <c r="D15" s="60" t="s">
        <v>1135</v>
      </c>
      <c r="E15" s="67"/>
      <c r="F15" s="60" t="s">
        <v>168</v>
      </c>
      <c r="G15" s="60" t="s">
        <v>79</v>
      </c>
      <c r="H15" s="67"/>
      <c r="I15" s="60" t="s">
        <v>26</v>
      </c>
      <c r="J15" s="66">
        <v>97.5</v>
      </c>
      <c r="K15" s="66">
        <v>13.5</v>
      </c>
      <c r="L15" s="66">
        <v>30</v>
      </c>
      <c r="M15" s="66">
        <v>21.75</v>
      </c>
      <c r="N15" s="66">
        <v>14</v>
      </c>
      <c r="O15" s="66">
        <f t="shared" si="0"/>
        <v>79.25</v>
      </c>
      <c r="P15" s="66">
        <v>176.75</v>
      </c>
      <c r="Q15" s="28">
        <f t="shared" si="1"/>
        <v>68.25</v>
      </c>
      <c r="R15" s="28">
        <f t="shared" si="2"/>
        <v>23.774999999999999</v>
      </c>
      <c r="S15" s="28">
        <f t="shared" si="3"/>
        <v>92.025000000000006</v>
      </c>
      <c r="T15" s="28"/>
    </row>
    <row r="16" spans="1:20" ht="20.100000000000001" customHeight="1">
      <c r="A16" s="211">
        <v>15</v>
      </c>
      <c r="B16" s="28"/>
      <c r="C16" s="59" t="s">
        <v>114</v>
      </c>
      <c r="D16" s="59" t="s">
        <v>1114</v>
      </c>
      <c r="E16" s="59"/>
      <c r="F16" s="59" t="s">
        <v>168</v>
      </c>
      <c r="G16" s="59" t="s">
        <v>76</v>
      </c>
      <c r="H16" s="59"/>
      <c r="I16" s="59" t="s">
        <v>26</v>
      </c>
      <c r="J16" s="66">
        <v>95</v>
      </c>
      <c r="K16" s="66">
        <v>15</v>
      </c>
      <c r="L16" s="66">
        <v>30</v>
      </c>
      <c r="M16" s="66">
        <v>23</v>
      </c>
      <c r="N16" s="66">
        <v>14.5</v>
      </c>
      <c r="O16" s="66">
        <f t="shared" si="0"/>
        <v>82.5</v>
      </c>
      <c r="P16" s="66">
        <v>177.5</v>
      </c>
      <c r="Q16" s="28">
        <f t="shared" si="1"/>
        <v>66.5</v>
      </c>
      <c r="R16" s="28">
        <f t="shared" si="2"/>
        <v>24.75</v>
      </c>
      <c r="S16" s="28">
        <f t="shared" si="3"/>
        <v>91.25</v>
      </c>
      <c r="T16" s="28"/>
    </row>
    <row r="17" spans="1:20" ht="20.100000000000001" customHeight="1">
      <c r="A17" s="211">
        <v>16</v>
      </c>
      <c r="B17" s="28"/>
      <c r="C17" s="59" t="s">
        <v>54</v>
      </c>
      <c r="D17" s="59" t="s">
        <v>1127</v>
      </c>
      <c r="E17" s="59"/>
      <c r="F17" s="59" t="s">
        <v>168</v>
      </c>
      <c r="G17" s="59" t="s">
        <v>79</v>
      </c>
      <c r="H17" s="59"/>
      <c r="I17" s="59" t="s">
        <v>26</v>
      </c>
      <c r="J17" s="28">
        <v>94</v>
      </c>
      <c r="K17" s="28">
        <v>15</v>
      </c>
      <c r="L17" s="28">
        <v>30</v>
      </c>
      <c r="M17" s="28">
        <v>22.5</v>
      </c>
      <c r="N17" s="28">
        <v>14.75</v>
      </c>
      <c r="O17" s="66">
        <f t="shared" si="0"/>
        <v>82.25</v>
      </c>
      <c r="P17" s="28">
        <v>176.25</v>
      </c>
      <c r="Q17" s="28">
        <f t="shared" si="1"/>
        <v>65.8</v>
      </c>
      <c r="R17" s="28">
        <f t="shared" si="2"/>
        <v>24.675000000000001</v>
      </c>
      <c r="S17" s="28">
        <f t="shared" si="3"/>
        <v>90.474999999999994</v>
      </c>
      <c r="T17" s="28"/>
    </row>
    <row r="18" spans="1:20" ht="20.100000000000001" customHeight="1">
      <c r="A18" s="211">
        <v>17</v>
      </c>
      <c r="B18" s="28"/>
      <c r="C18" s="59" t="s">
        <v>196</v>
      </c>
      <c r="D18" s="59" t="s">
        <v>1125</v>
      </c>
      <c r="E18" s="59"/>
      <c r="F18" s="59" t="s">
        <v>168</v>
      </c>
      <c r="G18" s="59" t="s">
        <v>79</v>
      </c>
      <c r="H18" s="59"/>
      <c r="I18" s="59" t="s">
        <v>26</v>
      </c>
      <c r="J18" s="66">
        <v>94.5</v>
      </c>
      <c r="K18" s="66">
        <v>15</v>
      </c>
      <c r="L18" s="66">
        <v>26</v>
      </c>
      <c r="M18" s="66">
        <v>22</v>
      </c>
      <c r="N18" s="66">
        <v>13.5</v>
      </c>
      <c r="O18" s="66">
        <f t="shared" si="0"/>
        <v>76.5</v>
      </c>
      <c r="P18" s="66">
        <v>171</v>
      </c>
      <c r="Q18" s="28">
        <f t="shared" si="1"/>
        <v>66.149999999999991</v>
      </c>
      <c r="R18" s="28">
        <f t="shared" si="2"/>
        <v>22.95</v>
      </c>
      <c r="S18" s="28">
        <f t="shared" si="3"/>
        <v>89.1</v>
      </c>
      <c r="T18" s="28"/>
    </row>
    <row r="19" spans="1:20" ht="20.100000000000001" customHeight="1">
      <c r="A19" s="211">
        <v>18</v>
      </c>
      <c r="B19" s="28"/>
      <c r="C19" s="60" t="s">
        <v>1103</v>
      </c>
      <c r="D19" s="60" t="s">
        <v>1134</v>
      </c>
      <c r="E19" s="61"/>
      <c r="F19" s="60" t="s">
        <v>168</v>
      </c>
      <c r="G19" s="60" t="s">
        <v>103</v>
      </c>
      <c r="H19" s="62"/>
      <c r="I19" s="60" t="s">
        <v>26</v>
      </c>
      <c r="J19" s="66">
        <v>84</v>
      </c>
      <c r="K19" s="66">
        <v>15</v>
      </c>
      <c r="L19" s="66">
        <v>30</v>
      </c>
      <c r="M19" s="66">
        <v>22</v>
      </c>
      <c r="N19" s="66">
        <v>14.75</v>
      </c>
      <c r="O19" s="66">
        <f t="shared" si="0"/>
        <v>81.75</v>
      </c>
      <c r="P19" s="66">
        <v>168.5</v>
      </c>
      <c r="Q19" s="28">
        <f t="shared" si="1"/>
        <v>58.8</v>
      </c>
      <c r="R19" s="28">
        <f t="shared" si="2"/>
        <v>24.524999999999999</v>
      </c>
      <c r="S19" s="28">
        <f t="shared" si="3"/>
        <v>83.324999999999989</v>
      </c>
      <c r="T19" s="28"/>
    </row>
    <row r="20" spans="1:20" ht="20.100000000000001" customHeight="1">
      <c r="A20" s="211">
        <v>7</v>
      </c>
      <c r="B20" s="28"/>
      <c r="C20" s="59" t="s">
        <v>59</v>
      </c>
      <c r="D20" s="59" t="s">
        <v>1123</v>
      </c>
      <c r="E20" s="214"/>
      <c r="F20" s="59" t="s">
        <v>168</v>
      </c>
      <c r="G20" s="59" t="s">
        <v>79</v>
      </c>
      <c r="H20" s="214"/>
      <c r="I20" s="59" t="s">
        <v>433</v>
      </c>
      <c r="J20" s="28">
        <v>88.5</v>
      </c>
      <c r="K20" s="206">
        <v>11.5</v>
      </c>
      <c r="L20" s="28">
        <v>22</v>
      </c>
      <c r="M20" s="28">
        <v>20.75</v>
      </c>
      <c r="N20" s="28">
        <v>12.75</v>
      </c>
      <c r="O20" s="66">
        <f t="shared" si="0"/>
        <v>67</v>
      </c>
      <c r="P20" s="28">
        <v>156.5</v>
      </c>
      <c r="Q20" s="28">
        <f t="shared" si="1"/>
        <v>61.949999999999996</v>
      </c>
      <c r="R20" s="28">
        <f t="shared" si="2"/>
        <v>20.099999999999998</v>
      </c>
      <c r="S20" s="28">
        <f t="shared" si="3"/>
        <v>82.05</v>
      </c>
      <c r="T20" s="28"/>
    </row>
    <row r="21" spans="1:20" ht="20.100000000000001" customHeight="1">
      <c r="A21" s="211">
        <v>19</v>
      </c>
      <c r="B21" s="28"/>
      <c r="C21" s="66" t="s">
        <v>1191</v>
      </c>
      <c r="D21" s="66" t="s">
        <v>1192</v>
      </c>
      <c r="E21" s="213"/>
      <c r="F21" s="28" t="s">
        <v>168</v>
      </c>
      <c r="G21" s="28" t="s">
        <v>79</v>
      </c>
      <c r="H21" s="213"/>
      <c r="I21" s="66" t="s">
        <v>26</v>
      </c>
      <c r="J21" s="66">
        <v>84.5</v>
      </c>
      <c r="K21" s="66">
        <v>15</v>
      </c>
      <c r="L21" s="66">
        <v>25</v>
      </c>
      <c r="M21" s="66">
        <v>21.25</v>
      </c>
      <c r="N21" s="66">
        <v>13.75</v>
      </c>
      <c r="O21" s="66">
        <f t="shared" si="0"/>
        <v>75</v>
      </c>
      <c r="P21" s="66">
        <v>159.5</v>
      </c>
      <c r="Q21" s="28">
        <f t="shared" si="1"/>
        <v>59.15</v>
      </c>
      <c r="R21" s="28">
        <f t="shared" si="2"/>
        <v>22.5</v>
      </c>
      <c r="S21" s="28">
        <f t="shared" si="3"/>
        <v>81.650000000000006</v>
      </c>
      <c r="T21" s="28"/>
    </row>
    <row r="22" spans="1:20" ht="20.100000000000001" customHeight="1">
      <c r="A22" s="211">
        <v>20</v>
      </c>
      <c r="B22" s="28"/>
      <c r="C22" s="59" t="s">
        <v>106</v>
      </c>
      <c r="D22" s="59" t="s">
        <v>1133</v>
      </c>
      <c r="E22" s="59"/>
      <c r="F22" s="59" t="s">
        <v>168</v>
      </c>
      <c r="G22" s="59" t="s">
        <v>79</v>
      </c>
      <c r="H22" s="59"/>
      <c r="I22" s="59" t="s">
        <v>26</v>
      </c>
      <c r="J22" s="28">
        <v>80</v>
      </c>
      <c r="K22" s="207">
        <v>15</v>
      </c>
      <c r="L22" s="207">
        <v>29</v>
      </c>
      <c r="M22" s="28">
        <v>21.5</v>
      </c>
      <c r="N22" s="28">
        <v>14.25</v>
      </c>
      <c r="O22" s="66">
        <f t="shared" si="0"/>
        <v>79.75</v>
      </c>
      <c r="P22" s="28">
        <v>159.75</v>
      </c>
      <c r="Q22" s="28">
        <f t="shared" si="1"/>
        <v>56</v>
      </c>
      <c r="R22" s="28">
        <f t="shared" si="2"/>
        <v>23.925000000000001</v>
      </c>
      <c r="S22" s="28">
        <f t="shared" si="3"/>
        <v>79.924999999999997</v>
      </c>
      <c r="T22" s="28"/>
    </row>
    <row r="23" spans="1:20" ht="20.100000000000001" customHeight="1">
      <c r="A23" s="211">
        <v>22</v>
      </c>
      <c r="B23" s="28"/>
      <c r="C23" s="60" t="s">
        <v>40</v>
      </c>
      <c r="D23" s="60" t="s">
        <v>1136</v>
      </c>
      <c r="E23" s="60"/>
      <c r="F23" s="60" t="s">
        <v>168</v>
      </c>
      <c r="G23" s="60" t="s">
        <v>79</v>
      </c>
      <c r="H23" s="60"/>
      <c r="I23" s="60" t="s">
        <v>26</v>
      </c>
      <c r="J23" s="60"/>
      <c r="K23" s="60"/>
      <c r="L23" s="60"/>
      <c r="M23" s="28"/>
      <c r="N23" s="28"/>
      <c r="O23" s="28"/>
      <c r="P23" s="28"/>
      <c r="Q23" s="28"/>
      <c r="R23" s="28"/>
      <c r="S23" s="28"/>
      <c r="T23" s="28" t="s">
        <v>1277</v>
      </c>
    </row>
    <row r="24" spans="1:20" ht="20.100000000000001" customHeight="1">
      <c r="A24" s="211">
        <v>23</v>
      </c>
      <c r="B24" s="28"/>
      <c r="C24" s="59" t="s">
        <v>90</v>
      </c>
      <c r="D24" s="59" t="s">
        <v>1122</v>
      </c>
      <c r="E24" s="59"/>
      <c r="F24" s="59" t="s">
        <v>223</v>
      </c>
      <c r="G24" s="59" t="s">
        <v>79</v>
      </c>
      <c r="H24" s="59"/>
      <c r="I24" s="59" t="s">
        <v>26</v>
      </c>
      <c r="J24" s="60"/>
      <c r="K24" s="59"/>
      <c r="L24" s="59"/>
      <c r="M24" s="28"/>
      <c r="N24" s="28"/>
      <c r="O24" s="28"/>
      <c r="P24" s="28"/>
      <c r="Q24" s="28"/>
      <c r="R24" s="28"/>
      <c r="S24" s="28"/>
      <c r="T24" s="28" t="s">
        <v>1277</v>
      </c>
    </row>
    <row r="25" spans="1:20" ht="20.100000000000001" customHeight="1">
      <c r="A25" s="211">
        <v>24</v>
      </c>
      <c r="B25" s="70"/>
      <c r="C25" s="63" t="s">
        <v>1017</v>
      </c>
      <c r="D25" s="63" t="s">
        <v>1116</v>
      </c>
      <c r="E25" s="63"/>
      <c r="F25" s="63" t="s">
        <v>168</v>
      </c>
      <c r="G25" s="63" t="s">
        <v>79</v>
      </c>
      <c r="H25" s="63"/>
      <c r="I25" s="63" t="s">
        <v>25</v>
      </c>
      <c r="J25" s="68">
        <v>100</v>
      </c>
      <c r="K25" s="68">
        <v>14</v>
      </c>
      <c r="L25" s="68">
        <v>30</v>
      </c>
      <c r="M25" s="68">
        <v>21.5</v>
      </c>
      <c r="N25" s="68">
        <v>14.25</v>
      </c>
      <c r="O25" s="68">
        <f t="shared" ref="O25:O32" si="4">SUM(K25:N25)</f>
        <v>79.75</v>
      </c>
      <c r="P25" s="68">
        <v>179.75</v>
      </c>
      <c r="Q25" s="70">
        <f t="shared" ref="Q25:Q32" si="5">(70%*J25)</f>
        <v>70</v>
      </c>
      <c r="R25" s="70">
        <f>(30%*O25)</f>
        <v>23.925000000000001</v>
      </c>
      <c r="S25" s="70">
        <f>(70%*J25)+(30%*O25)</f>
        <v>93.924999999999997</v>
      </c>
      <c r="T25" s="70"/>
    </row>
    <row r="26" spans="1:20" ht="20.100000000000001" customHeight="1">
      <c r="A26" s="211">
        <v>25</v>
      </c>
      <c r="B26" s="70"/>
      <c r="C26" s="71" t="s">
        <v>127</v>
      </c>
      <c r="D26" s="208" t="s">
        <v>1132</v>
      </c>
      <c r="E26" s="71"/>
      <c r="F26" s="71" t="s">
        <v>168</v>
      </c>
      <c r="G26" s="71" t="s">
        <v>103</v>
      </c>
      <c r="H26" s="71"/>
      <c r="I26" s="71" t="s">
        <v>25</v>
      </c>
      <c r="J26" s="68">
        <v>99</v>
      </c>
      <c r="K26" s="68">
        <v>15</v>
      </c>
      <c r="L26" s="68">
        <v>28</v>
      </c>
      <c r="M26" s="68">
        <v>21.5</v>
      </c>
      <c r="N26" s="68">
        <v>14.5</v>
      </c>
      <c r="O26" s="68">
        <f t="shared" si="4"/>
        <v>79</v>
      </c>
      <c r="P26" s="68">
        <v>178</v>
      </c>
      <c r="Q26" s="70">
        <f t="shared" si="5"/>
        <v>69.3</v>
      </c>
      <c r="R26" s="70">
        <f>(30%*O26)</f>
        <v>23.7</v>
      </c>
      <c r="S26" s="70">
        <f>(70%*J26)+(30%*O26)</f>
        <v>93</v>
      </c>
      <c r="T26" s="70"/>
    </row>
    <row r="27" spans="1:20" ht="20.100000000000001" customHeight="1">
      <c r="A27" s="211">
        <v>26</v>
      </c>
      <c r="B27" s="70"/>
      <c r="C27" s="63" t="s">
        <v>120</v>
      </c>
      <c r="D27" s="63" t="s">
        <v>1117</v>
      </c>
      <c r="E27" s="63"/>
      <c r="F27" s="63" t="s">
        <v>168</v>
      </c>
      <c r="G27" s="63" t="s">
        <v>79</v>
      </c>
      <c r="H27" s="63"/>
      <c r="I27" s="63" t="s">
        <v>25</v>
      </c>
      <c r="J27" s="68">
        <v>94.5</v>
      </c>
      <c r="K27" s="68">
        <v>15</v>
      </c>
      <c r="L27" s="68">
        <v>23</v>
      </c>
      <c r="M27" s="68">
        <v>21.5</v>
      </c>
      <c r="N27" s="68">
        <v>14.5</v>
      </c>
      <c r="O27" s="68">
        <f t="shared" si="4"/>
        <v>74</v>
      </c>
      <c r="P27" s="68">
        <v>168.5</v>
      </c>
      <c r="Q27" s="70">
        <f t="shared" si="5"/>
        <v>66.149999999999991</v>
      </c>
      <c r="R27" s="70">
        <f>(30%*O27)</f>
        <v>22.2</v>
      </c>
      <c r="S27" s="70">
        <f>(70%*J27)+(30%*O27)</f>
        <v>88.35</v>
      </c>
      <c r="T27" s="70"/>
    </row>
    <row r="28" spans="1:20" ht="20.100000000000001" customHeight="1">
      <c r="A28" s="211">
        <v>27</v>
      </c>
      <c r="B28" s="70"/>
      <c r="C28" s="68" t="s">
        <v>1189</v>
      </c>
      <c r="D28" s="68" t="s">
        <v>1190</v>
      </c>
      <c r="E28" s="210"/>
      <c r="F28" s="70" t="s">
        <v>168</v>
      </c>
      <c r="G28" s="70" t="s">
        <v>79</v>
      </c>
      <c r="H28" s="210"/>
      <c r="I28" s="68" t="s">
        <v>25</v>
      </c>
      <c r="J28" s="68">
        <v>90.5</v>
      </c>
      <c r="K28" s="72">
        <v>14</v>
      </c>
      <c r="L28" s="68">
        <v>27</v>
      </c>
      <c r="M28" s="68">
        <v>22.75</v>
      </c>
      <c r="N28" s="68">
        <v>14.75</v>
      </c>
      <c r="O28" s="68">
        <f t="shared" si="4"/>
        <v>78.5</v>
      </c>
      <c r="P28" s="68">
        <v>169</v>
      </c>
      <c r="Q28" s="70">
        <f t="shared" si="5"/>
        <v>63.349999999999994</v>
      </c>
      <c r="R28" s="70">
        <f>(30%*O28)</f>
        <v>23.55</v>
      </c>
      <c r="S28" s="70">
        <f>(70%*J28)+(30%*O28)</f>
        <v>86.899999999999991</v>
      </c>
      <c r="T28" s="70"/>
    </row>
    <row r="29" spans="1:20" ht="20.100000000000001" customHeight="1">
      <c r="A29" s="211">
        <v>28</v>
      </c>
      <c r="B29" s="70"/>
      <c r="C29" s="63" t="s">
        <v>58</v>
      </c>
      <c r="D29" s="63" t="s">
        <v>1124</v>
      </c>
      <c r="E29" s="63"/>
      <c r="F29" s="63" t="s">
        <v>168</v>
      </c>
      <c r="G29" s="63" t="s">
        <v>79</v>
      </c>
      <c r="H29" s="63"/>
      <c r="I29" s="63" t="s">
        <v>25</v>
      </c>
      <c r="J29" s="70">
        <v>92</v>
      </c>
      <c r="K29" s="70">
        <v>13</v>
      </c>
      <c r="L29" s="69">
        <v>27</v>
      </c>
      <c r="M29" s="70">
        <v>21</v>
      </c>
      <c r="N29" s="70">
        <v>13.75</v>
      </c>
      <c r="O29" s="68">
        <f t="shared" si="4"/>
        <v>74.75</v>
      </c>
      <c r="P29" s="68">
        <v>166.75</v>
      </c>
      <c r="Q29" s="70">
        <f t="shared" si="5"/>
        <v>64.399999999999991</v>
      </c>
      <c r="R29" s="70">
        <f>(30%*O29)</f>
        <v>22.425000000000001</v>
      </c>
      <c r="S29" s="70">
        <f>(70%*J29)+(30%*O29)</f>
        <v>86.824999999999989</v>
      </c>
      <c r="T29" s="70"/>
    </row>
    <row r="30" spans="1:20" ht="20.100000000000001" customHeight="1">
      <c r="A30" s="211">
        <v>32</v>
      </c>
      <c r="B30" s="70"/>
      <c r="C30" s="70" t="s">
        <v>1234</v>
      </c>
      <c r="D30" s="68" t="s">
        <v>1188</v>
      </c>
      <c r="E30" s="73"/>
      <c r="F30" s="70" t="s">
        <v>168</v>
      </c>
      <c r="G30" s="70"/>
      <c r="H30" s="73"/>
      <c r="I30" s="63" t="s">
        <v>25</v>
      </c>
      <c r="J30" s="68">
        <v>60</v>
      </c>
      <c r="K30" s="68">
        <v>15</v>
      </c>
      <c r="L30" s="68">
        <v>20</v>
      </c>
      <c r="M30" s="68">
        <v>13</v>
      </c>
      <c r="N30" s="68">
        <v>21</v>
      </c>
      <c r="O30" s="68">
        <f t="shared" si="4"/>
        <v>69</v>
      </c>
      <c r="P30" s="68">
        <f>SUM(J30:N30)</f>
        <v>129</v>
      </c>
      <c r="Q30" s="70">
        <f t="shared" si="5"/>
        <v>42</v>
      </c>
      <c r="R30" s="70">
        <f>(30%*P30)</f>
        <v>38.699999999999996</v>
      </c>
      <c r="S30" s="70">
        <f>(70%*J30)+(30%*P30)</f>
        <v>80.699999999999989</v>
      </c>
      <c r="T30" s="70"/>
    </row>
    <row r="31" spans="1:20" ht="20.100000000000001" customHeight="1">
      <c r="A31" s="211">
        <v>29</v>
      </c>
      <c r="B31" s="70"/>
      <c r="C31" s="63" t="s">
        <v>122</v>
      </c>
      <c r="D31" s="63" t="s">
        <v>1120</v>
      </c>
      <c r="E31" s="212"/>
      <c r="F31" s="63" t="s">
        <v>168</v>
      </c>
      <c r="G31" s="63" t="s">
        <v>79</v>
      </c>
      <c r="H31" s="212"/>
      <c r="I31" s="63" t="s">
        <v>25</v>
      </c>
      <c r="J31" s="68">
        <v>80</v>
      </c>
      <c r="K31" s="68">
        <v>15</v>
      </c>
      <c r="L31" s="68">
        <v>26</v>
      </c>
      <c r="M31" s="68">
        <v>21.5</v>
      </c>
      <c r="N31" s="68">
        <v>14</v>
      </c>
      <c r="O31" s="68">
        <f t="shared" si="4"/>
        <v>76.5</v>
      </c>
      <c r="P31" s="68">
        <v>156.5</v>
      </c>
      <c r="Q31" s="70">
        <f t="shared" si="5"/>
        <v>56</v>
      </c>
      <c r="R31" s="70">
        <f>(30%*O31)</f>
        <v>22.95</v>
      </c>
      <c r="S31" s="70">
        <f>(70%*J31)+(30%*O31)</f>
        <v>78.95</v>
      </c>
      <c r="T31" s="70"/>
    </row>
    <row r="32" spans="1:20" ht="20.100000000000001" customHeight="1">
      <c r="A32" s="211">
        <v>30</v>
      </c>
      <c r="B32" s="70"/>
      <c r="C32" s="68" t="s">
        <v>1186</v>
      </c>
      <c r="D32" s="68" t="s">
        <v>1187</v>
      </c>
      <c r="E32" s="215"/>
      <c r="F32" s="70" t="s">
        <v>168</v>
      </c>
      <c r="G32" s="70" t="s">
        <v>79</v>
      </c>
      <c r="H32" s="215"/>
      <c r="I32" s="68" t="s">
        <v>25</v>
      </c>
      <c r="J32" s="68">
        <v>74.5</v>
      </c>
      <c r="K32" s="68">
        <v>15</v>
      </c>
      <c r="L32" s="68">
        <v>26</v>
      </c>
      <c r="M32" s="68">
        <v>21</v>
      </c>
      <c r="N32" s="68">
        <v>14</v>
      </c>
      <c r="O32" s="68">
        <f t="shared" si="4"/>
        <v>76</v>
      </c>
      <c r="P32" s="68">
        <v>150.5</v>
      </c>
      <c r="Q32" s="70">
        <f t="shared" si="5"/>
        <v>52.15</v>
      </c>
      <c r="R32" s="70">
        <f>(30%*O32)</f>
        <v>22.8</v>
      </c>
      <c r="S32" s="70">
        <f>(70%*J32)+(30%*O32)</f>
        <v>74.95</v>
      </c>
      <c r="T32" s="70"/>
    </row>
    <row r="33" spans="1:20" ht="20.100000000000001" customHeight="1">
      <c r="A33" s="211">
        <v>31</v>
      </c>
      <c r="B33" s="70"/>
      <c r="C33" s="212" t="s">
        <v>53</v>
      </c>
      <c r="D33" s="63" t="s">
        <v>1129</v>
      </c>
      <c r="E33" s="212"/>
      <c r="F33" s="63" t="s">
        <v>168</v>
      </c>
      <c r="G33" s="63" t="s">
        <v>79</v>
      </c>
      <c r="H33" s="212"/>
      <c r="I33" s="63" t="s">
        <v>25</v>
      </c>
      <c r="J33" s="73"/>
      <c r="K33" s="63"/>
      <c r="L33" s="63"/>
      <c r="M33" s="70"/>
      <c r="N33" s="70"/>
      <c r="O33" s="70"/>
      <c r="P33" s="70"/>
      <c r="Q33" s="70"/>
      <c r="R33" s="70"/>
      <c r="S33" s="70"/>
      <c r="T33" s="70" t="s">
        <v>1277</v>
      </c>
    </row>
    <row r="35" spans="1:20">
      <c r="A35"/>
      <c r="B35"/>
      <c r="C35"/>
      <c r="D35"/>
      <c r="E35"/>
      <c r="F35"/>
      <c r="G35"/>
      <c r="H35"/>
      <c r="I35"/>
      <c r="J35"/>
    </row>
    <row r="36" spans="1:20">
      <c r="A36"/>
      <c r="B36"/>
      <c r="C36"/>
      <c r="D36"/>
      <c r="E36"/>
      <c r="F36"/>
      <c r="G36"/>
      <c r="H36"/>
      <c r="I36"/>
      <c r="J36"/>
    </row>
    <row r="37" spans="1:20">
      <c r="A37"/>
      <c r="B37"/>
      <c r="C37"/>
      <c r="D37"/>
      <c r="E37"/>
      <c r="F37"/>
      <c r="G37"/>
      <c r="H37"/>
      <c r="I37"/>
      <c r="J37"/>
    </row>
  </sheetData>
  <sortState ref="A2:U33">
    <sortCondition ref="U2:U33"/>
    <sortCondition descending="1" ref="S2:S33"/>
  </sortState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33"/>
  <sheetViews>
    <sheetView rightToLeft="1" zoomScaleNormal="100" workbookViewId="0">
      <selection activeCell="E13" sqref="E2:E13"/>
    </sheetView>
  </sheetViews>
  <sheetFormatPr defaultRowHeight="14.25"/>
  <cols>
    <col min="1" max="1" width="9.375" bestFit="1" customWidth="1"/>
    <col min="2" max="2" width="10.125" bestFit="1" customWidth="1"/>
    <col min="3" max="3" width="11.75" bestFit="1" customWidth="1"/>
    <col min="4" max="4" width="22.875" bestFit="1" customWidth="1"/>
    <col min="5" max="5" width="11.875" bestFit="1" customWidth="1"/>
    <col min="6" max="6" width="6" bestFit="1" customWidth="1"/>
    <col min="7" max="7" width="5.25" bestFit="1" customWidth="1"/>
    <col min="8" max="8" width="11.875" bestFit="1" customWidth="1"/>
    <col min="9" max="9" width="12" bestFit="1" customWidth="1"/>
    <col min="10" max="10" width="10.125" bestFit="1" customWidth="1"/>
    <col min="11" max="19" width="9.75" customWidth="1"/>
    <col min="20" max="20" width="38.625" bestFit="1" customWidth="1"/>
    <col min="21" max="21" width="33.375" bestFit="1" customWidth="1"/>
  </cols>
  <sheetData>
    <row r="1" spans="1:21" ht="37.5">
      <c r="A1" s="35" t="e">
        <f>A1:S25ردیف</f>
        <v>#NAME?</v>
      </c>
      <c r="B1" s="36" t="s">
        <v>4</v>
      </c>
      <c r="C1" s="36" t="s">
        <v>17</v>
      </c>
      <c r="D1" s="36" t="s">
        <v>1</v>
      </c>
      <c r="E1" s="35" t="s">
        <v>50</v>
      </c>
      <c r="F1" s="35" t="s">
        <v>16</v>
      </c>
      <c r="G1" s="35" t="s">
        <v>15</v>
      </c>
      <c r="H1" s="36" t="s">
        <v>2</v>
      </c>
      <c r="I1" s="36" t="s">
        <v>14</v>
      </c>
      <c r="J1" s="35" t="s">
        <v>1268</v>
      </c>
      <c r="K1" s="35" t="s">
        <v>1269</v>
      </c>
      <c r="L1" s="35" t="s">
        <v>9</v>
      </c>
      <c r="M1" s="35" t="s">
        <v>8</v>
      </c>
      <c r="N1" s="35" t="s">
        <v>7</v>
      </c>
      <c r="O1" s="35" t="s">
        <v>6</v>
      </c>
      <c r="P1" s="35" t="s">
        <v>46</v>
      </c>
      <c r="Q1" s="35" t="s">
        <v>47</v>
      </c>
      <c r="R1" s="35" t="s">
        <v>48</v>
      </c>
      <c r="S1" s="35" t="s">
        <v>1217</v>
      </c>
      <c r="T1" s="35" t="s">
        <v>49</v>
      </c>
      <c r="U1" s="35" t="s">
        <v>18</v>
      </c>
    </row>
    <row r="2" spans="1:21" ht="20.100000000000001" customHeight="1">
      <c r="A2" s="219">
        <v>1</v>
      </c>
      <c r="B2" s="12"/>
      <c r="C2" s="56" t="s">
        <v>53</v>
      </c>
      <c r="D2" s="56" t="s">
        <v>1143</v>
      </c>
      <c r="E2" s="56"/>
      <c r="F2" s="56" t="s">
        <v>168</v>
      </c>
      <c r="G2" s="56" t="s">
        <v>79</v>
      </c>
      <c r="H2" s="56"/>
      <c r="I2" s="56" t="s">
        <v>24</v>
      </c>
      <c r="J2" s="12">
        <v>35</v>
      </c>
      <c r="K2" s="12">
        <v>45</v>
      </c>
      <c r="L2" s="12">
        <v>15</v>
      </c>
      <c r="M2" s="12">
        <v>25</v>
      </c>
      <c r="N2" s="12">
        <v>20</v>
      </c>
      <c r="O2" s="12">
        <v>13</v>
      </c>
      <c r="P2" s="12">
        <f>SUM(L2:O2)</f>
        <v>73</v>
      </c>
      <c r="Q2" s="12">
        <f>O2+N2+M2+L2+K2+J2</f>
        <v>153</v>
      </c>
      <c r="R2" s="12">
        <f>70%*(K2+J2)</f>
        <v>56</v>
      </c>
      <c r="S2" s="12">
        <f>30%*P2</f>
        <v>21.9</v>
      </c>
      <c r="T2" s="12">
        <f>S2+R2</f>
        <v>77.900000000000006</v>
      </c>
      <c r="U2" s="12"/>
    </row>
    <row r="3" spans="1:21" ht="20.100000000000001" customHeight="1">
      <c r="A3" s="219">
        <v>2</v>
      </c>
      <c r="B3" s="12"/>
      <c r="C3" s="56" t="s">
        <v>53</v>
      </c>
      <c r="D3" s="56" t="s">
        <v>1142</v>
      </c>
      <c r="E3" s="56"/>
      <c r="F3" s="56" t="s">
        <v>168</v>
      </c>
      <c r="G3" s="56" t="s">
        <v>79</v>
      </c>
      <c r="H3" s="56"/>
      <c r="I3" s="56" t="s">
        <v>24</v>
      </c>
      <c r="J3" s="12">
        <v>10</v>
      </c>
      <c r="K3" s="12">
        <v>10</v>
      </c>
      <c r="L3" s="12">
        <v>15</v>
      </c>
      <c r="M3" s="12">
        <v>20</v>
      </c>
      <c r="N3" s="12">
        <v>15</v>
      </c>
      <c r="O3" s="12">
        <v>8</v>
      </c>
      <c r="P3" s="12">
        <f t="shared" ref="P3:P13" si="0">SUM(L3:O3)</f>
        <v>58</v>
      </c>
      <c r="Q3" s="12">
        <f t="shared" ref="Q3:Q13" si="1">O3+N3+M3+L3+K3+J3</f>
        <v>78</v>
      </c>
      <c r="R3" s="12">
        <f t="shared" ref="R3:R13" si="2">70%*(K3+J3)</f>
        <v>14</v>
      </c>
      <c r="S3" s="12">
        <f t="shared" ref="S3:S13" si="3">30%*P3</f>
        <v>17.399999999999999</v>
      </c>
      <c r="T3" s="12">
        <f t="shared" ref="T3:T13" si="4">S3+R3</f>
        <v>31.4</v>
      </c>
      <c r="U3" s="12"/>
    </row>
    <row r="4" spans="1:21" ht="20.100000000000001" customHeight="1">
      <c r="A4" s="219">
        <v>3</v>
      </c>
      <c r="B4" s="12"/>
      <c r="C4" s="58" t="s">
        <v>1103</v>
      </c>
      <c r="D4" s="58" t="s">
        <v>1147</v>
      </c>
      <c r="E4" s="74"/>
      <c r="F4" s="58" t="s">
        <v>168</v>
      </c>
      <c r="G4" s="58" t="s">
        <v>103</v>
      </c>
      <c r="H4" s="75"/>
      <c r="I4" s="58" t="s">
        <v>24</v>
      </c>
      <c r="J4" s="57"/>
      <c r="K4" s="12"/>
      <c r="L4" s="12"/>
      <c r="M4" s="12"/>
      <c r="N4" s="12"/>
      <c r="O4" s="155"/>
      <c r="P4" s="12">
        <f t="shared" si="0"/>
        <v>0</v>
      </c>
      <c r="Q4" s="216">
        <f t="shared" si="1"/>
        <v>0</v>
      </c>
      <c r="R4" s="216">
        <f t="shared" si="2"/>
        <v>0</v>
      </c>
      <c r="S4" s="216">
        <f t="shared" si="3"/>
        <v>0</v>
      </c>
      <c r="T4" s="216">
        <f t="shared" si="4"/>
        <v>0</v>
      </c>
      <c r="U4" s="216" t="s">
        <v>1277</v>
      </c>
    </row>
    <row r="5" spans="1:21" ht="20.100000000000001" customHeight="1">
      <c r="A5" s="219">
        <v>4</v>
      </c>
      <c r="B5" s="10"/>
      <c r="C5" s="76" t="s">
        <v>27</v>
      </c>
      <c r="D5" s="76" t="s">
        <v>1140</v>
      </c>
      <c r="E5" s="76"/>
      <c r="F5" s="76" t="s">
        <v>168</v>
      </c>
      <c r="G5" s="76" t="s">
        <v>79</v>
      </c>
      <c r="H5" s="76"/>
      <c r="I5" s="76" t="s">
        <v>26</v>
      </c>
      <c r="J5" s="10">
        <v>48</v>
      </c>
      <c r="K5" s="10">
        <v>46</v>
      </c>
      <c r="L5" s="10">
        <v>15</v>
      </c>
      <c r="M5" s="10">
        <v>24</v>
      </c>
      <c r="N5" s="10">
        <v>21</v>
      </c>
      <c r="O5" s="10">
        <v>13.5</v>
      </c>
      <c r="P5" s="10">
        <f t="shared" si="0"/>
        <v>73.5</v>
      </c>
      <c r="Q5" s="10">
        <f t="shared" si="1"/>
        <v>167.5</v>
      </c>
      <c r="R5" s="10">
        <f t="shared" si="2"/>
        <v>65.8</v>
      </c>
      <c r="S5" s="10">
        <f t="shared" si="3"/>
        <v>22.05</v>
      </c>
      <c r="T5" s="10">
        <f t="shared" si="4"/>
        <v>87.85</v>
      </c>
      <c r="U5" s="10"/>
    </row>
    <row r="6" spans="1:21" ht="20.100000000000001" customHeight="1">
      <c r="A6" s="219">
        <v>5</v>
      </c>
      <c r="B6" s="10"/>
      <c r="C6" s="76" t="s">
        <v>53</v>
      </c>
      <c r="D6" s="76" t="s">
        <v>1145</v>
      </c>
      <c r="E6" s="76"/>
      <c r="F6" s="76" t="s">
        <v>168</v>
      </c>
      <c r="G6" s="76" t="s">
        <v>79</v>
      </c>
      <c r="H6" s="76"/>
      <c r="I6" s="76" t="s">
        <v>26</v>
      </c>
      <c r="J6" s="10">
        <v>20</v>
      </c>
      <c r="K6" s="10">
        <v>20</v>
      </c>
      <c r="L6" s="10">
        <v>15</v>
      </c>
      <c r="M6" s="10">
        <v>20</v>
      </c>
      <c r="N6" s="10">
        <v>18</v>
      </c>
      <c r="O6" s="10">
        <v>12</v>
      </c>
      <c r="P6" s="10">
        <f t="shared" si="0"/>
        <v>65</v>
      </c>
      <c r="Q6" s="10">
        <f t="shared" si="1"/>
        <v>105</v>
      </c>
      <c r="R6" s="10">
        <f t="shared" si="2"/>
        <v>28</v>
      </c>
      <c r="S6" s="10">
        <f t="shared" si="3"/>
        <v>19.5</v>
      </c>
      <c r="T6" s="10">
        <f t="shared" si="4"/>
        <v>47.5</v>
      </c>
      <c r="U6" s="10"/>
    </row>
    <row r="7" spans="1:21" ht="20.100000000000001" customHeight="1">
      <c r="A7" s="219">
        <v>6</v>
      </c>
      <c r="B7" s="10"/>
      <c r="C7" s="76" t="s">
        <v>132</v>
      </c>
      <c r="D7" s="76" t="s">
        <v>1137</v>
      </c>
      <c r="E7" s="76"/>
      <c r="F7" s="76" t="s">
        <v>168</v>
      </c>
      <c r="G7" s="76" t="s">
        <v>79</v>
      </c>
      <c r="H7" s="76"/>
      <c r="I7" s="76" t="s">
        <v>26</v>
      </c>
      <c r="J7" s="77"/>
      <c r="K7" s="10"/>
      <c r="L7" s="10"/>
      <c r="M7" s="10"/>
      <c r="N7" s="10"/>
      <c r="O7" s="152"/>
      <c r="P7" s="10">
        <f t="shared" si="0"/>
        <v>0</v>
      </c>
      <c r="Q7" s="10">
        <f t="shared" si="1"/>
        <v>0</v>
      </c>
      <c r="R7" s="10">
        <f t="shared" si="2"/>
        <v>0</v>
      </c>
      <c r="S7" s="10">
        <f t="shared" si="3"/>
        <v>0</v>
      </c>
      <c r="T7" s="10">
        <f t="shared" si="4"/>
        <v>0</v>
      </c>
      <c r="U7" s="10" t="s">
        <v>1277</v>
      </c>
    </row>
    <row r="8" spans="1:21" ht="20.100000000000001" customHeight="1">
      <c r="A8" s="219">
        <v>7</v>
      </c>
      <c r="B8" s="10"/>
      <c r="C8" s="76" t="s">
        <v>80</v>
      </c>
      <c r="D8" s="76" t="s">
        <v>1138</v>
      </c>
      <c r="E8" s="76"/>
      <c r="F8" s="76" t="s">
        <v>168</v>
      </c>
      <c r="G8" s="76" t="s">
        <v>79</v>
      </c>
      <c r="H8" s="76"/>
      <c r="I8" s="76" t="s">
        <v>26</v>
      </c>
      <c r="J8" s="77"/>
      <c r="K8" s="10"/>
      <c r="L8" s="10"/>
      <c r="M8" s="10"/>
      <c r="N8" s="10"/>
      <c r="O8" s="152"/>
      <c r="P8" s="10">
        <f t="shared" si="0"/>
        <v>0</v>
      </c>
      <c r="Q8" s="10">
        <f t="shared" si="1"/>
        <v>0</v>
      </c>
      <c r="R8" s="10">
        <f t="shared" si="2"/>
        <v>0</v>
      </c>
      <c r="S8" s="10">
        <f t="shared" si="3"/>
        <v>0</v>
      </c>
      <c r="T8" s="10">
        <f t="shared" si="4"/>
        <v>0</v>
      </c>
      <c r="U8" s="10" t="s">
        <v>1277</v>
      </c>
    </row>
    <row r="9" spans="1:21" ht="20.100000000000001" customHeight="1">
      <c r="A9" s="219">
        <v>8</v>
      </c>
      <c r="B9" s="10"/>
      <c r="C9" s="76" t="s">
        <v>53</v>
      </c>
      <c r="D9" s="76" t="s">
        <v>1146</v>
      </c>
      <c r="E9" s="76"/>
      <c r="F9" s="76" t="s">
        <v>168</v>
      </c>
      <c r="G9" s="76" t="s">
        <v>79</v>
      </c>
      <c r="H9" s="76"/>
      <c r="I9" s="76" t="s">
        <v>26</v>
      </c>
      <c r="J9" s="77"/>
      <c r="K9" s="10"/>
      <c r="L9" s="10"/>
      <c r="M9" s="10"/>
      <c r="N9" s="10"/>
      <c r="O9" s="152"/>
      <c r="P9" s="10">
        <f t="shared" si="0"/>
        <v>0</v>
      </c>
      <c r="Q9" s="10">
        <f t="shared" si="1"/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 t="s">
        <v>1277</v>
      </c>
    </row>
    <row r="10" spans="1:21" ht="20.100000000000001" customHeight="1">
      <c r="A10" s="219">
        <v>9</v>
      </c>
      <c r="B10" s="10"/>
      <c r="C10" s="78" t="s">
        <v>75</v>
      </c>
      <c r="D10" s="78" t="s">
        <v>1148</v>
      </c>
      <c r="E10" s="79"/>
      <c r="F10" s="78" t="s">
        <v>168</v>
      </c>
      <c r="G10" s="78" t="s">
        <v>79</v>
      </c>
      <c r="H10" s="79"/>
      <c r="I10" s="78" t="s">
        <v>26</v>
      </c>
      <c r="J10" s="77"/>
      <c r="K10" s="10"/>
      <c r="L10" s="10"/>
      <c r="M10" s="10"/>
      <c r="N10" s="10"/>
      <c r="O10" s="152"/>
      <c r="P10" s="10">
        <f t="shared" si="0"/>
        <v>0</v>
      </c>
      <c r="Q10" s="10">
        <f t="shared" si="1"/>
        <v>0</v>
      </c>
      <c r="R10" s="10">
        <f t="shared" si="2"/>
        <v>0</v>
      </c>
      <c r="S10" s="10">
        <f t="shared" si="3"/>
        <v>0</v>
      </c>
      <c r="T10" s="10">
        <f t="shared" si="4"/>
        <v>0</v>
      </c>
      <c r="U10" s="10" t="s">
        <v>1277</v>
      </c>
    </row>
    <row r="11" spans="1:21" ht="20.100000000000001" customHeight="1">
      <c r="A11" s="219">
        <v>10</v>
      </c>
      <c r="B11" s="22"/>
      <c r="C11" s="37" t="s">
        <v>53</v>
      </c>
      <c r="D11" s="37" t="s">
        <v>1144</v>
      </c>
      <c r="E11" s="37"/>
      <c r="F11" s="37" t="s">
        <v>168</v>
      </c>
      <c r="G11" s="37" t="s">
        <v>79</v>
      </c>
      <c r="H11" s="37"/>
      <c r="I11" s="37" t="s">
        <v>25</v>
      </c>
      <c r="J11" s="22">
        <v>40</v>
      </c>
      <c r="K11" s="22">
        <v>50</v>
      </c>
      <c r="L11" s="22">
        <v>15</v>
      </c>
      <c r="M11" s="22">
        <v>28</v>
      </c>
      <c r="N11" s="22">
        <v>23</v>
      </c>
      <c r="O11" s="22">
        <v>15</v>
      </c>
      <c r="P11" s="22">
        <f t="shared" si="0"/>
        <v>81</v>
      </c>
      <c r="Q11" s="217">
        <f t="shared" si="1"/>
        <v>171</v>
      </c>
      <c r="R11" s="217">
        <f t="shared" si="2"/>
        <v>62.999999999999993</v>
      </c>
      <c r="S11" s="217">
        <f t="shared" si="3"/>
        <v>24.3</v>
      </c>
      <c r="T11" s="217">
        <f t="shared" si="4"/>
        <v>87.3</v>
      </c>
      <c r="U11" s="217"/>
    </row>
    <row r="12" spans="1:21" ht="20.100000000000001" customHeight="1">
      <c r="A12" s="219">
        <v>11</v>
      </c>
      <c r="B12" s="22"/>
      <c r="C12" s="37" t="s">
        <v>54</v>
      </c>
      <c r="D12" s="37" t="s">
        <v>1141</v>
      </c>
      <c r="E12" s="37"/>
      <c r="F12" s="37" t="s">
        <v>168</v>
      </c>
      <c r="G12" s="37" t="s">
        <v>79</v>
      </c>
      <c r="H12" s="37"/>
      <c r="I12" s="37" t="s">
        <v>25</v>
      </c>
      <c r="J12" s="22">
        <v>25</v>
      </c>
      <c r="K12" s="22">
        <v>50</v>
      </c>
      <c r="L12" s="22">
        <v>15</v>
      </c>
      <c r="M12" s="22">
        <v>20</v>
      </c>
      <c r="N12" s="22">
        <v>18</v>
      </c>
      <c r="O12" s="22">
        <v>19</v>
      </c>
      <c r="P12" s="22">
        <f t="shared" si="0"/>
        <v>72</v>
      </c>
      <c r="Q12" s="22">
        <f t="shared" si="1"/>
        <v>147</v>
      </c>
      <c r="R12" s="22">
        <f t="shared" si="2"/>
        <v>52.5</v>
      </c>
      <c r="S12" s="22">
        <f t="shared" si="3"/>
        <v>21.599999999999998</v>
      </c>
      <c r="T12" s="22">
        <f t="shared" si="4"/>
        <v>74.099999999999994</v>
      </c>
      <c r="U12" s="22"/>
    </row>
    <row r="13" spans="1:21" ht="20.100000000000001" customHeight="1">
      <c r="A13" s="219">
        <v>12</v>
      </c>
      <c r="B13" s="22"/>
      <c r="C13" s="37" t="s">
        <v>113</v>
      </c>
      <c r="D13" s="37" t="s">
        <v>1139</v>
      </c>
      <c r="E13" s="37"/>
      <c r="F13" s="37" t="s">
        <v>168</v>
      </c>
      <c r="G13" s="37" t="s">
        <v>79</v>
      </c>
      <c r="H13" s="37"/>
      <c r="I13" s="37" t="s">
        <v>25</v>
      </c>
      <c r="J13" s="39"/>
      <c r="K13" s="22"/>
      <c r="L13" s="22"/>
      <c r="M13" s="22"/>
      <c r="N13" s="22"/>
      <c r="O13" s="218"/>
      <c r="P13" s="22">
        <f t="shared" si="0"/>
        <v>0</v>
      </c>
      <c r="Q13" s="22">
        <f t="shared" si="1"/>
        <v>0</v>
      </c>
      <c r="R13" s="22">
        <f t="shared" si="2"/>
        <v>0</v>
      </c>
      <c r="S13" s="22">
        <f t="shared" si="3"/>
        <v>0</v>
      </c>
      <c r="T13" s="22">
        <f t="shared" si="4"/>
        <v>0</v>
      </c>
      <c r="U13" s="22" t="s">
        <v>1277</v>
      </c>
    </row>
    <row r="14" spans="1:21" ht="20.100000000000001" customHeight="1"/>
    <row r="15" spans="1:21" ht="20.100000000000001" customHeight="1"/>
    <row r="16" spans="1:21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</sheetData>
  <sortState ref="A2:U13">
    <sortCondition ref="U2:U13"/>
    <sortCondition descending="1" ref="S2:S13"/>
  </sortState>
  <phoneticPr fontId="1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38"/>
  <sheetViews>
    <sheetView rightToLeft="1" topLeftCell="A23" workbookViewId="0">
      <selection activeCell="H37" sqref="H2:H37"/>
    </sheetView>
  </sheetViews>
  <sheetFormatPr defaultColWidth="8.875" defaultRowHeight="21"/>
  <cols>
    <col min="1" max="1" width="9.125" style="3" customWidth="1"/>
    <col min="2" max="2" width="11.625" style="3" customWidth="1"/>
    <col min="3" max="3" width="22.125" style="3" customWidth="1"/>
    <col min="4" max="4" width="23.375" style="3" bestFit="1" customWidth="1"/>
    <col min="5" max="5" width="13.875" style="3" customWidth="1"/>
    <col min="6" max="6" width="5" style="3" customWidth="1"/>
    <col min="7" max="7" width="7.625" style="3" customWidth="1"/>
    <col min="8" max="8" width="13.25" style="3" customWidth="1"/>
    <col min="9" max="9" width="8.125" style="3" customWidth="1"/>
    <col min="10" max="10" width="10" style="3" bestFit="1" customWidth="1"/>
    <col min="11" max="19" width="9.75" style="3" customWidth="1"/>
    <col min="20" max="20" width="23.125" style="3" customWidth="1"/>
    <col min="21" max="21" width="33.375" style="3" bestFit="1" customWidth="1"/>
    <col min="22" max="16384" width="8.875" style="3"/>
  </cols>
  <sheetData>
    <row r="1" spans="1:20" ht="63">
      <c r="A1" s="80" t="s">
        <v>0</v>
      </c>
      <c r="B1" s="5" t="s">
        <v>4</v>
      </c>
      <c r="C1" s="5" t="s">
        <v>17</v>
      </c>
      <c r="D1" s="5" t="s">
        <v>1</v>
      </c>
      <c r="E1" s="5" t="s">
        <v>50</v>
      </c>
      <c r="F1" s="80" t="s">
        <v>16</v>
      </c>
      <c r="G1" s="80" t="s">
        <v>15</v>
      </c>
      <c r="H1" s="5" t="s">
        <v>2</v>
      </c>
      <c r="I1" s="5" t="s">
        <v>14</v>
      </c>
      <c r="J1" s="80" t="s">
        <v>45</v>
      </c>
      <c r="K1" s="80" t="s">
        <v>9</v>
      </c>
      <c r="L1" s="80" t="s">
        <v>8</v>
      </c>
      <c r="M1" s="80" t="s">
        <v>7</v>
      </c>
      <c r="N1" s="80" t="s">
        <v>6</v>
      </c>
      <c r="O1" s="80" t="s">
        <v>46</v>
      </c>
      <c r="P1" s="80" t="s">
        <v>47</v>
      </c>
      <c r="Q1" s="80" t="s">
        <v>48</v>
      </c>
      <c r="R1" s="80" t="s">
        <v>1217</v>
      </c>
      <c r="S1" s="80" t="s">
        <v>49</v>
      </c>
      <c r="T1" s="80" t="s">
        <v>18</v>
      </c>
    </row>
    <row r="2" spans="1:20" ht="20.100000000000001" customHeight="1">
      <c r="A2" s="14">
        <v>1</v>
      </c>
      <c r="B2" s="136"/>
      <c r="C2" s="11" t="s">
        <v>64</v>
      </c>
      <c r="D2" s="11" t="s">
        <v>1163</v>
      </c>
      <c r="E2" s="11"/>
      <c r="F2" s="11" t="s">
        <v>168</v>
      </c>
      <c r="G2" s="11" t="s">
        <v>79</v>
      </c>
      <c r="H2" s="11"/>
      <c r="I2" s="11" t="s">
        <v>24</v>
      </c>
      <c r="J2" s="120">
        <v>100</v>
      </c>
      <c r="K2" s="120">
        <v>15</v>
      </c>
      <c r="L2" s="120">
        <v>30</v>
      </c>
      <c r="M2" s="120">
        <v>23</v>
      </c>
      <c r="N2" s="120">
        <v>15.75</v>
      </c>
      <c r="O2" s="120">
        <f t="shared" ref="O2:O37" si="0">SUM(K2:N2)</f>
        <v>83.75</v>
      </c>
      <c r="P2" s="120">
        <v>169.75</v>
      </c>
      <c r="Q2" s="136">
        <f t="shared" ref="Q2:Q37" si="1">70% *J2</f>
        <v>70</v>
      </c>
      <c r="R2" s="136">
        <f t="shared" ref="R2:R37" si="2">30%*O2</f>
        <v>25.125</v>
      </c>
      <c r="S2" s="136">
        <f t="shared" ref="S2:S37" si="3">Q2+R2</f>
        <v>95.125</v>
      </c>
      <c r="T2" s="136"/>
    </row>
    <row r="3" spans="1:20" ht="20.100000000000001" customHeight="1">
      <c r="A3" s="14">
        <v>2</v>
      </c>
      <c r="B3" s="136"/>
      <c r="C3" s="11" t="s">
        <v>61</v>
      </c>
      <c r="D3" s="11" t="s">
        <v>1166</v>
      </c>
      <c r="E3" s="11"/>
      <c r="F3" s="11" t="s">
        <v>168</v>
      </c>
      <c r="G3" s="11" t="s">
        <v>79</v>
      </c>
      <c r="H3" s="11"/>
      <c r="I3" s="11" t="s">
        <v>24</v>
      </c>
      <c r="J3" s="120">
        <v>92</v>
      </c>
      <c r="K3" s="120">
        <v>15</v>
      </c>
      <c r="L3" s="120">
        <v>31</v>
      </c>
      <c r="M3" s="120">
        <v>24</v>
      </c>
      <c r="N3" s="120">
        <v>15.5</v>
      </c>
      <c r="O3" s="120">
        <f t="shared" si="0"/>
        <v>85.5</v>
      </c>
      <c r="P3" s="120">
        <v>175.5</v>
      </c>
      <c r="Q3" s="136">
        <f t="shared" si="1"/>
        <v>64.399999999999991</v>
      </c>
      <c r="R3" s="136">
        <f t="shared" si="2"/>
        <v>25.65</v>
      </c>
      <c r="S3" s="136">
        <f t="shared" si="3"/>
        <v>90.049999999999983</v>
      </c>
      <c r="T3" s="136"/>
    </row>
    <row r="4" spans="1:20" ht="20.100000000000001" customHeight="1">
      <c r="A4" s="14">
        <v>3</v>
      </c>
      <c r="B4" s="136"/>
      <c r="C4" s="11" t="s">
        <v>75</v>
      </c>
      <c r="D4" s="11" t="s">
        <v>1178</v>
      </c>
      <c r="E4" s="33"/>
      <c r="F4" s="11" t="s">
        <v>168</v>
      </c>
      <c r="G4" s="11" t="s">
        <v>79</v>
      </c>
      <c r="H4" s="33"/>
      <c r="I4" s="11" t="s">
        <v>24</v>
      </c>
      <c r="J4" s="120">
        <v>93.5</v>
      </c>
      <c r="K4" s="120">
        <v>15</v>
      </c>
      <c r="L4" s="120">
        <v>26</v>
      </c>
      <c r="M4" s="120">
        <v>21</v>
      </c>
      <c r="N4" s="120">
        <v>13</v>
      </c>
      <c r="O4" s="120">
        <f t="shared" si="0"/>
        <v>75</v>
      </c>
      <c r="P4" s="120">
        <v>164.25</v>
      </c>
      <c r="Q4" s="136">
        <f t="shared" si="1"/>
        <v>65.45</v>
      </c>
      <c r="R4" s="136">
        <f t="shared" si="2"/>
        <v>22.5</v>
      </c>
      <c r="S4" s="136">
        <f t="shared" si="3"/>
        <v>87.95</v>
      </c>
      <c r="T4" s="136"/>
    </row>
    <row r="5" spans="1:20" ht="20.100000000000001" customHeight="1">
      <c r="A5" s="14">
        <v>4</v>
      </c>
      <c r="B5" s="136"/>
      <c r="C5" s="11" t="s">
        <v>75</v>
      </c>
      <c r="D5" s="11" t="s">
        <v>1177</v>
      </c>
      <c r="E5" s="33"/>
      <c r="F5" s="11" t="s">
        <v>168</v>
      </c>
      <c r="G5" s="11" t="s">
        <v>79</v>
      </c>
      <c r="H5" s="33"/>
      <c r="I5" s="11" t="s">
        <v>24</v>
      </c>
      <c r="J5" s="120">
        <v>88</v>
      </c>
      <c r="K5" s="120">
        <v>15</v>
      </c>
      <c r="L5" s="120">
        <v>25</v>
      </c>
      <c r="M5" s="120">
        <v>22</v>
      </c>
      <c r="N5" s="120">
        <v>15</v>
      </c>
      <c r="O5" s="120">
        <f t="shared" si="0"/>
        <v>77</v>
      </c>
      <c r="P5" s="120">
        <f>J5+K5+L5+M5+N5</f>
        <v>165</v>
      </c>
      <c r="Q5" s="136">
        <f t="shared" si="1"/>
        <v>61.599999999999994</v>
      </c>
      <c r="R5" s="136">
        <f t="shared" si="2"/>
        <v>23.099999999999998</v>
      </c>
      <c r="S5" s="136">
        <f t="shared" si="3"/>
        <v>84.699999999999989</v>
      </c>
      <c r="T5" s="136"/>
    </row>
    <row r="6" spans="1:20" ht="20.100000000000001" customHeight="1">
      <c r="A6" s="14">
        <v>5</v>
      </c>
      <c r="B6" s="136"/>
      <c r="C6" s="11" t="s">
        <v>57</v>
      </c>
      <c r="D6" s="11" t="s">
        <v>1168</v>
      </c>
      <c r="E6" s="11"/>
      <c r="F6" s="11" t="s">
        <v>168</v>
      </c>
      <c r="G6" s="11" t="s">
        <v>79</v>
      </c>
      <c r="H6" s="11"/>
      <c r="I6" s="11" t="s">
        <v>24</v>
      </c>
      <c r="J6" s="120">
        <v>60</v>
      </c>
      <c r="K6" s="120">
        <v>13</v>
      </c>
      <c r="L6" s="120">
        <v>22</v>
      </c>
      <c r="M6" s="120">
        <v>19</v>
      </c>
      <c r="N6" s="120">
        <v>12</v>
      </c>
      <c r="O6" s="120">
        <f t="shared" si="0"/>
        <v>66</v>
      </c>
      <c r="P6" s="120">
        <v>177.5</v>
      </c>
      <c r="Q6" s="136">
        <f t="shared" si="1"/>
        <v>42</v>
      </c>
      <c r="R6" s="136">
        <f t="shared" si="2"/>
        <v>19.8</v>
      </c>
      <c r="S6" s="136">
        <f t="shared" si="3"/>
        <v>61.8</v>
      </c>
      <c r="T6" s="136"/>
    </row>
    <row r="7" spans="1:20" ht="20.100000000000001" customHeight="1">
      <c r="A7" s="14">
        <v>6</v>
      </c>
      <c r="B7" s="82"/>
      <c r="C7" s="18" t="s">
        <v>64</v>
      </c>
      <c r="D7" s="18" t="s">
        <v>1164</v>
      </c>
      <c r="E7" s="18"/>
      <c r="F7" s="18" t="s">
        <v>168</v>
      </c>
      <c r="G7" s="18" t="s">
        <v>79</v>
      </c>
      <c r="H7" s="18"/>
      <c r="I7" s="18" t="s">
        <v>26</v>
      </c>
      <c r="J7" s="83">
        <v>100</v>
      </c>
      <c r="K7" s="83">
        <v>14</v>
      </c>
      <c r="L7" s="83">
        <v>33</v>
      </c>
      <c r="M7" s="83">
        <v>25</v>
      </c>
      <c r="N7" s="83">
        <v>16.5</v>
      </c>
      <c r="O7" s="83">
        <f t="shared" si="0"/>
        <v>88.5</v>
      </c>
      <c r="P7" s="83">
        <v>182.25</v>
      </c>
      <c r="Q7" s="82">
        <f t="shared" si="1"/>
        <v>70</v>
      </c>
      <c r="R7" s="82">
        <f t="shared" si="2"/>
        <v>26.55</v>
      </c>
      <c r="S7" s="82">
        <f t="shared" si="3"/>
        <v>96.55</v>
      </c>
      <c r="T7" s="82"/>
    </row>
    <row r="8" spans="1:20" ht="20.100000000000001" customHeight="1">
      <c r="A8" s="14">
        <v>7</v>
      </c>
      <c r="B8" s="82"/>
      <c r="C8" s="18" t="s">
        <v>69</v>
      </c>
      <c r="D8" s="18" t="s">
        <v>1154</v>
      </c>
      <c r="E8" s="18"/>
      <c r="F8" s="18" t="s">
        <v>168</v>
      </c>
      <c r="G8" s="18" t="s">
        <v>79</v>
      </c>
      <c r="H8" s="18"/>
      <c r="I8" s="18" t="s">
        <v>26</v>
      </c>
      <c r="J8" s="82">
        <v>100</v>
      </c>
      <c r="K8" s="82">
        <v>15</v>
      </c>
      <c r="L8" s="82">
        <v>32</v>
      </c>
      <c r="M8" s="82">
        <v>24</v>
      </c>
      <c r="N8" s="82">
        <v>16</v>
      </c>
      <c r="O8" s="83">
        <f t="shared" si="0"/>
        <v>87</v>
      </c>
      <c r="P8" s="82">
        <v>187</v>
      </c>
      <c r="Q8" s="82">
        <f t="shared" si="1"/>
        <v>70</v>
      </c>
      <c r="R8" s="82">
        <f t="shared" si="2"/>
        <v>26.099999999999998</v>
      </c>
      <c r="S8" s="82">
        <f t="shared" si="3"/>
        <v>96.1</v>
      </c>
      <c r="T8" s="82"/>
    </row>
    <row r="9" spans="1:20" ht="20.100000000000001" customHeight="1">
      <c r="A9" s="14">
        <v>8</v>
      </c>
      <c r="B9" s="82"/>
      <c r="C9" s="18" t="s">
        <v>1158</v>
      </c>
      <c r="D9" s="18" t="s">
        <v>1157</v>
      </c>
      <c r="E9" s="18"/>
      <c r="F9" s="18" t="s">
        <v>168</v>
      </c>
      <c r="G9" s="18" t="s">
        <v>79</v>
      </c>
      <c r="H9" s="18"/>
      <c r="I9" s="18" t="s">
        <v>26</v>
      </c>
      <c r="J9" s="83">
        <v>100</v>
      </c>
      <c r="K9" s="83">
        <v>14</v>
      </c>
      <c r="L9" s="83">
        <v>30</v>
      </c>
      <c r="M9" s="83">
        <v>23</v>
      </c>
      <c r="N9" s="83">
        <v>15</v>
      </c>
      <c r="O9" s="83">
        <f t="shared" si="0"/>
        <v>82</v>
      </c>
      <c r="P9" s="83">
        <v>178.25</v>
      </c>
      <c r="Q9" s="82">
        <f t="shared" si="1"/>
        <v>70</v>
      </c>
      <c r="R9" s="82">
        <f t="shared" si="2"/>
        <v>24.599999999999998</v>
      </c>
      <c r="S9" s="82">
        <f t="shared" si="3"/>
        <v>94.6</v>
      </c>
      <c r="T9" s="82"/>
    </row>
    <row r="10" spans="1:20" ht="20.100000000000001" customHeight="1">
      <c r="A10" s="14">
        <v>9</v>
      </c>
      <c r="B10" s="18"/>
      <c r="C10" s="18" t="s">
        <v>75</v>
      </c>
      <c r="D10" s="18" t="s">
        <v>1179</v>
      </c>
      <c r="E10" s="32"/>
      <c r="F10" s="18" t="s">
        <v>168</v>
      </c>
      <c r="G10" s="18" t="s">
        <v>79</v>
      </c>
      <c r="H10" s="32"/>
      <c r="I10" s="18" t="s">
        <v>26</v>
      </c>
      <c r="J10" s="83">
        <v>100</v>
      </c>
      <c r="K10" s="83">
        <v>15</v>
      </c>
      <c r="L10" s="83">
        <v>26</v>
      </c>
      <c r="M10" s="83">
        <v>22</v>
      </c>
      <c r="N10" s="83">
        <v>14.5</v>
      </c>
      <c r="O10" s="83">
        <f t="shared" si="0"/>
        <v>77.5</v>
      </c>
      <c r="P10" s="83">
        <v>168.5</v>
      </c>
      <c r="Q10" s="82">
        <f t="shared" si="1"/>
        <v>70</v>
      </c>
      <c r="R10" s="82">
        <f t="shared" si="2"/>
        <v>23.25</v>
      </c>
      <c r="S10" s="82">
        <f t="shared" si="3"/>
        <v>93.25</v>
      </c>
      <c r="T10" s="18"/>
    </row>
    <row r="11" spans="1:20" ht="20.100000000000001" customHeight="1">
      <c r="A11" s="14">
        <v>10</v>
      </c>
      <c r="B11" s="18"/>
      <c r="C11" s="18"/>
      <c r="D11" s="18" t="s">
        <v>1184</v>
      </c>
      <c r="E11" s="18"/>
      <c r="F11" s="18" t="s">
        <v>168</v>
      </c>
      <c r="G11" s="18" t="s">
        <v>79</v>
      </c>
      <c r="H11" s="18"/>
      <c r="I11" s="18" t="s">
        <v>26</v>
      </c>
      <c r="J11" s="83">
        <v>98</v>
      </c>
      <c r="K11" s="83">
        <v>15</v>
      </c>
      <c r="L11" s="83">
        <v>30</v>
      </c>
      <c r="M11" s="83">
        <v>21.5</v>
      </c>
      <c r="N11" s="83">
        <v>13.75</v>
      </c>
      <c r="O11" s="83">
        <f t="shared" si="0"/>
        <v>80.25</v>
      </c>
      <c r="P11" s="83">
        <v>135.5</v>
      </c>
      <c r="Q11" s="82">
        <f t="shared" si="1"/>
        <v>68.599999999999994</v>
      </c>
      <c r="R11" s="82">
        <f t="shared" si="2"/>
        <v>24.074999999999999</v>
      </c>
      <c r="S11" s="82">
        <f t="shared" si="3"/>
        <v>92.674999999999997</v>
      </c>
      <c r="T11" s="18"/>
    </row>
    <row r="12" spans="1:20" ht="20.100000000000001" customHeight="1">
      <c r="A12" s="14">
        <v>11</v>
      </c>
      <c r="B12" s="82"/>
      <c r="C12" s="18" t="s">
        <v>1160</v>
      </c>
      <c r="D12" s="18" t="s">
        <v>1159</v>
      </c>
      <c r="E12" s="18"/>
      <c r="F12" s="18" t="s">
        <v>168</v>
      </c>
      <c r="G12" s="18" t="s">
        <v>79</v>
      </c>
      <c r="H12" s="18"/>
      <c r="I12" s="18" t="s">
        <v>26</v>
      </c>
      <c r="J12" s="18">
        <v>97.5</v>
      </c>
      <c r="K12" s="82">
        <v>15</v>
      </c>
      <c r="L12" s="82">
        <v>27</v>
      </c>
      <c r="M12" s="82">
        <v>23</v>
      </c>
      <c r="N12" s="82">
        <v>13.5</v>
      </c>
      <c r="O12" s="83">
        <f t="shared" si="0"/>
        <v>78.5</v>
      </c>
      <c r="P12" s="82">
        <v>176</v>
      </c>
      <c r="Q12" s="82">
        <f t="shared" si="1"/>
        <v>68.25</v>
      </c>
      <c r="R12" s="82">
        <f t="shared" si="2"/>
        <v>23.55</v>
      </c>
      <c r="S12" s="82">
        <f t="shared" si="3"/>
        <v>91.8</v>
      </c>
      <c r="T12" s="82"/>
    </row>
    <row r="13" spans="1:20" ht="20.100000000000001" customHeight="1">
      <c r="A13" s="14">
        <v>12</v>
      </c>
      <c r="B13" s="82"/>
      <c r="C13" s="18" t="s">
        <v>122</v>
      </c>
      <c r="D13" s="18" t="s">
        <v>1156</v>
      </c>
      <c r="E13" s="18"/>
      <c r="F13" s="18" t="s">
        <v>168</v>
      </c>
      <c r="G13" s="18" t="s">
        <v>79</v>
      </c>
      <c r="H13" s="18"/>
      <c r="I13" s="18" t="s">
        <v>26</v>
      </c>
      <c r="J13" s="83">
        <v>95</v>
      </c>
      <c r="K13" s="83">
        <v>15</v>
      </c>
      <c r="L13" s="83">
        <v>30</v>
      </c>
      <c r="M13" s="83">
        <v>22</v>
      </c>
      <c r="N13" s="83">
        <v>15</v>
      </c>
      <c r="O13" s="83">
        <f t="shared" si="0"/>
        <v>82</v>
      </c>
      <c r="P13" s="83">
        <v>177</v>
      </c>
      <c r="Q13" s="82">
        <f t="shared" si="1"/>
        <v>66.5</v>
      </c>
      <c r="R13" s="82">
        <f t="shared" si="2"/>
        <v>24.599999999999998</v>
      </c>
      <c r="S13" s="82">
        <f t="shared" si="3"/>
        <v>91.1</v>
      </c>
      <c r="T13" s="82"/>
    </row>
    <row r="14" spans="1:20" ht="20.100000000000001" customHeight="1">
      <c r="A14" s="14">
        <v>13</v>
      </c>
      <c r="B14" s="82"/>
      <c r="C14" s="18" t="s">
        <v>32</v>
      </c>
      <c r="D14" s="18" t="s">
        <v>1161</v>
      </c>
      <c r="E14" s="18"/>
      <c r="F14" s="18" t="s">
        <v>168</v>
      </c>
      <c r="G14" s="18" t="s">
        <v>79</v>
      </c>
      <c r="H14" s="18"/>
      <c r="I14" s="18" t="s">
        <v>26</v>
      </c>
      <c r="J14" s="83">
        <v>92</v>
      </c>
      <c r="K14" s="83">
        <v>15</v>
      </c>
      <c r="L14" s="83">
        <v>30</v>
      </c>
      <c r="M14" s="83">
        <v>23</v>
      </c>
      <c r="N14" s="83">
        <v>15</v>
      </c>
      <c r="O14" s="83">
        <f t="shared" si="0"/>
        <v>83</v>
      </c>
      <c r="P14" s="83">
        <v>175</v>
      </c>
      <c r="Q14" s="82">
        <f t="shared" si="1"/>
        <v>64.399999999999991</v>
      </c>
      <c r="R14" s="82">
        <f t="shared" si="2"/>
        <v>24.9</v>
      </c>
      <c r="S14" s="82">
        <f t="shared" si="3"/>
        <v>89.299999999999983</v>
      </c>
      <c r="T14" s="82"/>
    </row>
    <row r="15" spans="1:20" ht="20.100000000000001" customHeight="1">
      <c r="A15" s="14">
        <v>14</v>
      </c>
      <c r="B15" s="82"/>
      <c r="C15" s="18" t="s">
        <v>64</v>
      </c>
      <c r="D15" s="18" t="s">
        <v>1165</v>
      </c>
      <c r="E15" s="18"/>
      <c r="F15" s="18" t="s">
        <v>168</v>
      </c>
      <c r="G15" s="18" t="s">
        <v>79</v>
      </c>
      <c r="H15" s="18"/>
      <c r="I15" s="18" t="s">
        <v>26</v>
      </c>
      <c r="J15" s="18">
        <v>94.5</v>
      </c>
      <c r="K15" s="82">
        <v>12.5</v>
      </c>
      <c r="L15" s="82">
        <v>27</v>
      </c>
      <c r="M15" s="82">
        <v>23</v>
      </c>
      <c r="N15" s="82">
        <v>14</v>
      </c>
      <c r="O15" s="83">
        <f t="shared" si="0"/>
        <v>76.5</v>
      </c>
      <c r="P15" s="82">
        <v>171</v>
      </c>
      <c r="Q15" s="82">
        <f t="shared" si="1"/>
        <v>66.149999999999991</v>
      </c>
      <c r="R15" s="82">
        <f t="shared" si="2"/>
        <v>22.95</v>
      </c>
      <c r="S15" s="82">
        <f t="shared" si="3"/>
        <v>89.1</v>
      </c>
      <c r="T15" s="82"/>
    </row>
    <row r="16" spans="1:20" ht="20.100000000000001" customHeight="1">
      <c r="A16" s="14">
        <v>15</v>
      </c>
      <c r="B16" s="82"/>
      <c r="C16" s="18" t="s">
        <v>27</v>
      </c>
      <c r="D16" s="18" t="s">
        <v>1170</v>
      </c>
      <c r="E16" s="18"/>
      <c r="F16" s="18" t="s">
        <v>168</v>
      </c>
      <c r="G16" s="18" t="s">
        <v>79</v>
      </c>
      <c r="H16" s="18"/>
      <c r="I16" s="18" t="s">
        <v>26</v>
      </c>
      <c r="J16" s="83">
        <v>91</v>
      </c>
      <c r="K16" s="83">
        <v>15</v>
      </c>
      <c r="L16" s="83">
        <v>30</v>
      </c>
      <c r="M16" s="83">
        <v>21</v>
      </c>
      <c r="N16" s="83">
        <v>13.75</v>
      </c>
      <c r="O16" s="83">
        <f t="shared" si="0"/>
        <v>79.75</v>
      </c>
      <c r="P16" s="83">
        <v>136</v>
      </c>
      <c r="Q16" s="82">
        <f t="shared" si="1"/>
        <v>63.699999999999996</v>
      </c>
      <c r="R16" s="82">
        <f t="shared" si="2"/>
        <v>23.925000000000001</v>
      </c>
      <c r="S16" s="82">
        <f t="shared" si="3"/>
        <v>87.625</v>
      </c>
      <c r="T16" s="82"/>
    </row>
    <row r="17" spans="1:20" ht="20.100000000000001" customHeight="1">
      <c r="A17" s="14">
        <v>16</v>
      </c>
      <c r="B17" s="82"/>
      <c r="C17" s="18" t="s">
        <v>54</v>
      </c>
      <c r="D17" s="18" t="s">
        <v>1171</v>
      </c>
      <c r="E17" s="18"/>
      <c r="F17" s="18" t="s">
        <v>168</v>
      </c>
      <c r="G17" s="18" t="s">
        <v>79</v>
      </c>
      <c r="H17" s="18"/>
      <c r="I17" s="18" t="s">
        <v>26</v>
      </c>
      <c r="J17" s="83">
        <v>89.5</v>
      </c>
      <c r="K17" s="83">
        <v>15</v>
      </c>
      <c r="L17" s="83">
        <v>28</v>
      </c>
      <c r="M17" s="83">
        <v>21.5</v>
      </c>
      <c r="N17" s="83">
        <v>14</v>
      </c>
      <c r="O17" s="83">
        <f t="shared" si="0"/>
        <v>78.5</v>
      </c>
      <c r="P17" s="83">
        <v>168</v>
      </c>
      <c r="Q17" s="82">
        <f t="shared" si="1"/>
        <v>62.65</v>
      </c>
      <c r="R17" s="82">
        <f t="shared" si="2"/>
        <v>23.55</v>
      </c>
      <c r="S17" s="82">
        <f t="shared" si="3"/>
        <v>86.2</v>
      </c>
      <c r="T17" s="82"/>
    </row>
    <row r="18" spans="1:20" ht="20.100000000000001" customHeight="1">
      <c r="A18" s="14">
        <v>17</v>
      </c>
      <c r="B18" s="82"/>
      <c r="C18" s="18" t="s">
        <v>53</v>
      </c>
      <c r="D18" s="18" t="s">
        <v>1175</v>
      </c>
      <c r="E18" s="18"/>
      <c r="F18" s="18" t="s">
        <v>168</v>
      </c>
      <c r="G18" s="18" t="s">
        <v>79</v>
      </c>
      <c r="H18" s="18"/>
      <c r="I18" s="18" t="s">
        <v>26</v>
      </c>
      <c r="J18" s="83">
        <v>85</v>
      </c>
      <c r="K18" s="83">
        <v>15</v>
      </c>
      <c r="L18" s="83">
        <v>23</v>
      </c>
      <c r="M18" s="83">
        <v>21</v>
      </c>
      <c r="N18" s="83">
        <v>13</v>
      </c>
      <c r="O18" s="83">
        <f t="shared" si="0"/>
        <v>72</v>
      </c>
      <c r="P18" s="83">
        <v>157</v>
      </c>
      <c r="Q18" s="82">
        <f t="shared" si="1"/>
        <v>59.499999999999993</v>
      </c>
      <c r="R18" s="82">
        <f t="shared" si="2"/>
        <v>21.599999999999998</v>
      </c>
      <c r="S18" s="82">
        <f t="shared" si="3"/>
        <v>81.099999999999994</v>
      </c>
      <c r="T18" s="82"/>
    </row>
    <row r="19" spans="1:20" ht="20.100000000000001" customHeight="1">
      <c r="A19" s="14">
        <v>18</v>
      </c>
      <c r="B19" s="82"/>
      <c r="C19" s="18" t="s">
        <v>55</v>
      </c>
      <c r="D19" s="18" t="s">
        <v>1169</v>
      </c>
      <c r="E19" s="18"/>
      <c r="F19" s="18" t="s">
        <v>168</v>
      </c>
      <c r="G19" s="18" t="s">
        <v>79</v>
      </c>
      <c r="H19" s="18"/>
      <c r="I19" s="18" t="s">
        <v>26</v>
      </c>
      <c r="J19" s="83">
        <v>60</v>
      </c>
      <c r="K19" s="83">
        <v>15</v>
      </c>
      <c r="L19" s="83">
        <v>31</v>
      </c>
      <c r="M19" s="83">
        <v>23</v>
      </c>
      <c r="N19" s="83">
        <v>15</v>
      </c>
      <c r="O19" s="83">
        <f t="shared" si="0"/>
        <v>84</v>
      </c>
      <c r="P19" s="83">
        <v>148.25</v>
      </c>
      <c r="Q19" s="82">
        <f t="shared" si="1"/>
        <v>42</v>
      </c>
      <c r="R19" s="82">
        <f t="shared" si="2"/>
        <v>25.2</v>
      </c>
      <c r="S19" s="82">
        <f t="shared" si="3"/>
        <v>67.2</v>
      </c>
      <c r="T19" s="82"/>
    </row>
    <row r="20" spans="1:20" ht="20.100000000000001" customHeight="1">
      <c r="A20" s="14">
        <v>19</v>
      </c>
      <c r="B20" s="82"/>
      <c r="C20" s="18" t="s">
        <v>71</v>
      </c>
      <c r="D20" s="18" t="s">
        <v>1152</v>
      </c>
      <c r="E20" s="18"/>
      <c r="F20" s="18" t="s">
        <v>168</v>
      </c>
      <c r="G20" s="18" t="s">
        <v>79</v>
      </c>
      <c r="H20" s="18"/>
      <c r="I20" s="18" t="s">
        <v>26</v>
      </c>
      <c r="J20" s="83">
        <v>60</v>
      </c>
      <c r="K20" s="83">
        <v>15</v>
      </c>
      <c r="L20" s="83">
        <v>27</v>
      </c>
      <c r="M20" s="83">
        <v>21</v>
      </c>
      <c r="N20" s="83">
        <v>13</v>
      </c>
      <c r="O20" s="83">
        <f t="shared" si="0"/>
        <v>76</v>
      </c>
      <c r="P20" s="83">
        <v>155.75</v>
      </c>
      <c r="Q20" s="82">
        <f t="shared" si="1"/>
        <v>42</v>
      </c>
      <c r="R20" s="82">
        <f t="shared" si="2"/>
        <v>22.8</v>
      </c>
      <c r="S20" s="82">
        <f t="shared" si="3"/>
        <v>64.8</v>
      </c>
      <c r="T20" s="82"/>
    </row>
    <row r="21" spans="1:20" ht="20.100000000000001" customHeight="1">
      <c r="A21" s="14">
        <v>20</v>
      </c>
      <c r="B21" s="82"/>
      <c r="C21" s="18" t="s">
        <v>926</v>
      </c>
      <c r="D21" s="18" t="s">
        <v>1149</v>
      </c>
      <c r="E21" s="18"/>
      <c r="F21" s="18" t="s">
        <v>168</v>
      </c>
      <c r="G21" s="18" t="s">
        <v>79</v>
      </c>
      <c r="H21" s="18"/>
      <c r="I21" s="18" t="s">
        <v>26</v>
      </c>
      <c r="J21" s="83">
        <v>50</v>
      </c>
      <c r="K21" s="83">
        <v>15</v>
      </c>
      <c r="L21" s="83">
        <v>29</v>
      </c>
      <c r="M21" s="83">
        <v>24</v>
      </c>
      <c r="N21" s="83">
        <v>16</v>
      </c>
      <c r="O21" s="83">
        <f t="shared" si="0"/>
        <v>84</v>
      </c>
      <c r="P21" s="83">
        <v>134</v>
      </c>
      <c r="Q21" s="82">
        <f t="shared" si="1"/>
        <v>35</v>
      </c>
      <c r="R21" s="82">
        <f t="shared" si="2"/>
        <v>25.2</v>
      </c>
      <c r="S21" s="82">
        <f t="shared" si="3"/>
        <v>60.2</v>
      </c>
      <c r="T21" s="82"/>
    </row>
    <row r="22" spans="1:20" ht="20.100000000000001" customHeight="1">
      <c r="A22" s="14">
        <v>21</v>
      </c>
      <c r="B22" s="83"/>
      <c r="C22" s="135" t="s">
        <v>127</v>
      </c>
      <c r="D22" s="135" t="s">
        <v>1176</v>
      </c>
      <c r="E22" s="135"/>
      <c r="F22" s="135" t="s">
        <v>168</v>
      </c>
      <c r="G22" s="135" t="s">
        <v>103</v>
      </c>
      <c r="H22" s="135"/>
      <c r="I22" s="135" t="s">
        <v>26</v>
      </c>
      <c r="J22" s="18"/>
      <c r="K22" s="83"/>
      <c r="L22" s="83"/>
      <c r="M22" s="83"/>
      <c r="N22" s="83"/>
      <c r="O22" s="83">
        <f t="shared" si="0"/>
        <v>0</v>
      </c>
      <c r="P22" s="83"/>
      <c r="Q22" s="82">
        <f t="shared" si="1"/>
        <v>0</v>
      </c>
      <c r="R22" s="82">
        <f t="shared" si="2"/>
        <v>0</v>
      </c>
      <c r="S22" s="82">
        <f t="shared" si="3"/>
        <v>0</v>
      </c>
      <c r="T22" s="82" t="s">
        <v>1277</v>
      </c>
    </row>
    <row r="23" spans="1:20" ht="20.100000000000001" customHeight="1">
      <c r="A23" s="14">
        <v>22</v>
      </c>
      <c r="B23" s="82"/>
      <c r="C23" s="18" t="s">
        <v>159</v>
      </c>
      <c r="D23" s="18" t="s">
        <v>1173</v>
      </c>
      <c r="E23" s="18"/>
      <c r="F23" s="18" t="s">
        <v>168</v>
      </c>
      <c r="G23" s="18" t="s">
        <v>79</v>
      </c>
      <c r="H23" s="18"/>
      <c r="I23" s="18" t="s">
        <v>26</v>
      </c>
      <c r="J23" s="18"/>
      <c r="K23" s="82"/>
      <c r="L23" s="82"/>
      <c r="M23" s="82"/>
      <c r="N23" s="82"/>
      <c r="O23" s="83">
        <f t="shared" si="0"/>
        <v>0</v>
      </c>
      <c r="P23" s="82"/>
      <c r="Q23" s="82">
        <f t="shared" si="1"/>
        <v>0</v>
      </c>
      <c r="R23" s="82">
        <f t="shared" si="2"/>
        <v>0</v>
      </c>
      <c r="S23" s="82">
        <f t="shared" si="3"/>
        <v>0</v>
      </c>
      <c r="T23" s="82" t="s">
        <v>1277</v>
      </c>
    </row>
    <row r="24" spans="1:20" ht="20.100000000000001" customHeight="1">
      <c r="A24" s="14">
        <v>23</v>
      </c>
      <c r="B24" s="26"/>
      <c r="C24" s="25" t="s">
        <v>150</v>
      </c>
      <c r="D24" s="25" t="s">
        <v>720</v>
      </c>
      <c r="E24" s="25"/>
      <c r="F24" s="25" t="s">
        <v>168</v>
      </c>
      <c r="G24" s="25" t="s">
        <v>79</v>
      </c>
      <c r="H24" s="25"/>
      <c r="I24" s="25" t="s">
        <v>25</v>
      </c>
      <c r="J24" s="84">
        <v>100</v>
      </c>
      <c r="K24" s="84">
        <v>14</v>
      </c>
      <c r="L24" s="84">
        <v>31</v>
      </c>
      <c r="M24" s="84">
        <v>22</v>
      </c>
      <c r="N24" s="84">
        <v>14.75</v>
      </c>
      <c r="O24" s="84">
        <f t="shared" si="0"/>
        <v>81.75</v>
      </c>
      <c r="P24" s="84">
        <v>173</v>
      </c>
      <c r="Q24" s="26">
        <f t="shared" si="1"/>
        <v>70</v>
      </c>
      <c r="R24" s="26">
        <f t="shared" si="2"/>
        <v>24.524999999999999</v>
      </c>
      <c r="S24" s="26">
        <f t="shared" si="3"/>
        <v>94.525000000000006</v>
      </c>
      <c r="T24" s="26"/>
    </row>
    <row r="25" spans="1:20" ht="20.100000000000001" customHeight="1">
      <c r="A25" s="14">
        <v>24</v>
      </c>
      <c r="B25" s="26"/>
      <c r="C25" s="25" t="s">
        <v>69</v>
      </c>
      <c r="D25" s="25" t="s">
        <v>1155</v>
      </c>
      <c r="E25" s="25"/>
      <c r="F25" s="25" t="s">
        <v>168</v>
      </c>
      <c r="G25" s="25" t="s">
        <v>79</v>
      </c>
      <c r="H25" s="25"/>
      <c r="I25" s="25" t="s">
        <v>25</v>
      </c>
      <c r="J25" s="84">
        <v>97</v>
      </c>
      <c r="K25" s="84">
        <v>15</v>
      </c>
      <c r="L25" s="84">
        <v>32</v>
      </c>
      <c r="M25" s="84">
        <v>25</v>
      </c>
      <c r="N25" s="84">
        <v>16.5</v>
      </c>
      <c r="O25" s="84">
        <f t="shared" si="0"/>
        <v>88.5</v>
      </c>
      <c r="P25" s="84">
        <v>185.5</v>
      </c>
      <c r="Q25" s="26">
        <f t="shared" si="1"/>
        <v>67.899999999999991</v>
      </c>
      <c r="R25" s="26">
        <f t="shared" si="2"/>
        <v>26.55</v>
      </c>
      <c r="S25" s="26">
        <f t="shared" si="3"/>
        <v>94.449999999999989</v>
      </c>
      <c r="T25" s="26"/>
    </row>
    <row r="26" spans="1:20" ht="20.100000000000001" customHeight="1">
      <c r="A26" s="14">
        <v>25</v>
      </c>
      <c r="B26" s="25"/>
      <c r="C26" s="25" t="s">
        <v>75</v>
      </c>
      <c r="D26" s="25" t="s">
        <v>1181</v>
      </c>
      <c r="E26" s="85"/>
      <c r="F26" s="25" t="s">
        <v>168</v>
      </c>
      <c r="G26" s="25" t="s">
        <v>79</v>
      </c>
      <c r="H26" s="85"/>
      <c r="I26" s="25" t="s">
        <v>25</v>
      </c>
      <c r="J26" s="84">
        <v>96.5</v>
      </c>
      <c r="K26" s="84">
        <v>15</v>
      </c>
      <c r="L26" s="84">
        <v>31</v>
      </c>
      <c r="M26" s="84">
        <v>24.5</v>
      </c>
      <c r="N26" s="84">
        <v>15.25</v>
      </c>
      <c r="O26" s="84">
        <f t="shared" si="0"/>
        <v>85.75</v>
      </c>
      <c r="P26" s="84">
        <v>170.5</v>
      </c>
      <c r="Q26" s="26">
        <f t="shared" si="1"/>
        <v>67.55</v>
      </c>
      <c r="R26" s="26">
        <f t="shared" si="2"/>
        <v>25.724999999999998</v>
      </c>
      <c r="S26" s="26">
        <f t="shared" si="3"/>
        <v>93.274999999999991</v>
      </c>
      <c r="T26" s="25"/>
    </row>
    <row r="27" spans="1:20" ht="20.100000000000001" customHeight="1">
      <c r="A27" s="14">
        <v>26</v>
      </c>
      <c r="B27" s="26"/>
      <c r="C27" s="25" t="s">
        <v>71</v>
      </c>
      <c r="D27" s="25" t="s">
        <v>1151</v>
      </c>
      <c r="E27" s="25"/>
      <c r="F27" s="25" t="s">
        <v>168</v>
      </c>
      <c r="G27" s="25" t="s">
        <v>79</v>
      </c>
      <c r="H27" s="25"/>
      <c r="I27" s="25" t="s">
        <v>25</v>
      </c>
      <c r="J27" s="84">
        <v>94.5</v>
      </c>
      <c r="K27" s="84">
        <v>15</v>
      </c>
      <c r="L27" s="84">
        <v>29</v>
      </c>
      <c r="M27" s="84">
        <v>20.5</v>
      </c>
      <c r="N27" s="84">
        <v>14</v>
      </c>
      <c r="O27" s="84">
        <f t="shared" si="0"/>
        <v>78.5</v>
      </c>
      <c r="P27" s="84">
        <v>144</v>
      </c>
      <c r="Q27" s="26">
        <f t="shared" si="1"/>
        <v>66.149999999999991</v>
      </c>
      <c r="R27" s="26">
        <f t="shared" si="2"/>
        <v>23.55</v>
      </c>
      <c r="S27" s="26">
        <f t="shared" si="3"/>
        <v>89.699999999999989</v>
      </c>
      <c r="T27" s="26"/>
    </row>
    <row r="28" spans="1:20" ht="20.100000000000001" customHeight="1">
      <c r="A28" s="14">
        <v>27</v>
      </c>
      <c r="B28" s="26"/>
      <c r="C28" s="25" t="s">
        <v>34</v>
      </c>
      <c r="D28" s="25" t="s">
        <v>1167</v>
      </c>
      <c r="E28" s="25"/>
      <c r="F28" s="25" t="s">
        <v>168</v>
      </c>
      <c r="G28" s="25" t="s">
        <v>103</v>
      </c>
      <c r="H28" s="25"/>
      <c r="I28" s="25" t="s">
        <v>25</v>
      </c>
      <c r="J28" s="84">
        <v>93</v>
      </c>
      <c r="K28" s="84">
        <v>15</v>
      </c>
      <c r="L28" s="84">
        <v>26</v>
      </c>
      <c r="M28" s="84">
        <v>21.5</v>
      </c>
      <c r="N28" s="84">
        <v>14.25</v>
      </c>
      <c r="O28" s="84">
        <f t="shared" si="0"/>
        <v>76.75</v>
      </c>
      <c r="P28" s="84">
        <v>188.5</v>
      </c>
      <c r="Q28" s="26">
        <f t="shared" si="1"/>
        <v>65.099999999999994</v>
      </c>
      <c r="R28" s="26">
        <f t="shared" si="2"/>
        <v>23.024999999999999</v>
      </c>
      <c r="S28" s="26">
        <f t="shared" si="3"/>
        <v>88.125</v>
      </c>
      <c r="T28" s="26"/>
    </row>
    <row r="29" spans="1:20" ht="20.100000000000001" customHeight="1">
      <c r="A29" s="14">
        <v>28</v>
      </c>
      <c r="B29" s="25"/>
      <c r="C29" s="25" t="s">
        <v>75</v>
      </c>
      <c r="D29" s="25" t="s">
        <v>1180</v>
      </c>
      <c r="E29" s="85"/>
      <c r="F29" s="25" t="s">
        <v>168</v>
      </c>
      <c r="G29" s="25" t="s">
        <v>79</v>
      </c>
      <c r="H29" s="85"/>
      <c r="I29" s="25" t="s">
        <v>25</v>
      </c>
      <c r="J29" s="84">
        <v>90.5</v>
      </c>
      <c r="K29" s="84">
        <v>15</v>
      </c>
      <c r="L29" s="84">
        <v>25</v>
      </c>
      <c r="M29" s="84">
        <v>21</v>
      </c>
      <c r="N29" s="84">
        <v>12.75</v>
      </c>
      <c r="O29" s="84">
        <f t="shared" si="0"/>
        <v>73.75</v>
      </c>
      <c r="P29" s="84">
        <v>126</v>
      </c>
      <c r="Q29" s="26">
        <f t="shared" si="1"/>
        <v>63.349999999999994</v>
      </c>
      <c r="R29" s="26">
        <f t="shared" si="2"/>
        <v>22.125</v>
      </c>
      <c r="S29" s="26">
        <f t="shared" si="3"/>
        <v>85.474999999999994</v>
      </c>
      <c r="T29" s="25"/>
    </row>
    <row r="30" spans="1:20" ht="20.100000000000001" customHeight="1">
      <c r="A30" s="14">
        <v>29</v>
      </c>
      <c r="B30" s="25"/>
      <c r="C30" s="26" t="s">
        <v>139</v>
      </c>
      <c r="D30" s="25" t="s">
        <v>1182</v>
      </c>
      <c r="E30" s="25"/>
      <c r="F30" s="26" t="s">
        <v>168</v>
      </c>
      <c r="G30" s="26" t="s">
        <v>79</v>
      </c>
      <c r="H30" s="25"/>
      <c r="I30" s="26" t="s">
        <v>25</v>
      </c>
      <c r="J30" s="84">
        <v>85.5</v>
      </c>
      <c r="K30" s="84">
        <v>13.5</v>
      </c>
      <c r="L30" s="84">
        <v>29</v>
      </c>
      <c r="M30" s="84">
        <v>22</v>
      </c>
      <c r="N30" s="84">
        <v>14.5</v>
      </c>
      <c r="O30" s="84">
        <f t="shared" si="0"/>
        <v>79</v>
      </c>
      <c r="P30" s="84">
        <v>164.5</v>
      </c>
      <c r="Q30" s="26">
        <f t="shared" si="1"/>
        <v>59.849999999999994</v>
      </c>
      <c r="R30" s="26">
        <f t="shared" si="2"/>
        <v>23.7</v>
      </c>
      <c r="S30" s="26">
        <f t="shared" si="3"/>
        <v>83.55</v>
      </c>
      <c r="T30" s="25"/>
    </row>
    <row r="31" spans="1:20" ht="20.100000000000001" customHeight="1">
      <c r="A31" s="14">
        <v>30</v>
      </c>
      <c r="B31" s="26"/>
      <c r="C31" s="25" t="s">
        <v>113</v>
      </c>
      <c r="D31" s="25" t="s">
        <v>1153</v>
      </c>
      <c r="E31" s="25"/>
      <c r="F31" s="25" t="s">
        <v>168</v>
      </c>
      <c r="G31" s="25" t="s">
        <v>79</v>
      </c>
      <c r="H31" s="25"/>
      <c r="I31" s="25" t="s">
        <v>25</v>
      </c>
      <c r="J31" s="84">
        <v>70</v>
      </c>
      <c r="K31" s="84">
        <v>15</v>
      </c>
      <c r="L31" s="84">
        <v>27</v>
      </c>
      <c r="M31" s="84">
        <v>22</v>
      </c>
      <c r="N31" s="84">
        <v>14.25</v>
      </c>
      <c r="O31" s="84">
        <f t="shared" si="0"/>
        <v>78.25</v>
      </c>
      <c r="P31" s="84">
        <v>135</v>
      </c>
      <c r="Q31" s="26">
        <f t="shared" si="1"/>
        <v>49</v>
      </c>
      <c r="R31" s="26">
        <f t="shared" si="2"/>
        <v>23.474999999999998</v>
      </c>
      <c r="S31" s="26">
        <f t="shared" si="3"/>
        <v>72.474999999999994</v>
      </c>
      <c r="T31" s="26"/>
    </row>
    <row r="32" spans="1:20" ht="20.100000000000001" customHeight="1">
      <c r="A32" s="14">
        <v>31</v>
      </c>
      <c r="B32" s="26"/>
      <c r="C32" s="25" t="s">
        <v>132</v>
      </c>
      <c r="D32" s="25" t="s">
        <v>1150</v>
      </c>
      <c r="E32" s="25"/>
      <c r="F32" s="25" t="s">
        <v>168</v>
      </c>
      <c r="G32" s="25" t="s">
        <v>79</v>
      </c>
      <c r="H32" s="25"/>
      <c r="I32" s="25" t="s">
        <v>25</v>
      </c>
      <c r="J32" s="84">
        <v>60</v>
      </c>
      <c r="K32" s="84">
        <v>12.5</v>
      </c>
      <c r="L32" s="84">
        <v>28</v>
      </c>
      <c r="M32" s="84">
        <v>21</v>
      </c>
      <c r="N32" s="84">
        <v>14</v>
      </c>
      <c r="O32" s="84">
        <f t="shared" si="0"/>
        <v>75.5</v>
      </c>
      <c r="P32" s="84">
        <v>183.75</v>
      </c>
      <c r="Q32" s="26">
        <f t="shared" si="1"/>
        <v>42</v>
      </c>
      <c r="R32" s="26">
        <f t="shared" si="2"/>
        <v>22.65</v>
      </c>
      <c r="S32" s="26">
        <f t="shared" si="3"/>
        <v>64.650000000000006</v>
      </c>
      <c r="T32" s="26"/>
    </row>
    <row r="33" spans="1:20" ht="20.100000000000001" customHeight="1">
      <c r="A33" s="14">
        <v>32</v>
      </c>
      <c r="B33" s="26"/>
      <c r="C33" s="25" t="s">
        <v>28</v>
      </c>
      <c r="D33" s="25" t="s">
        <v>1162</v>
      </c>
      <c r="E33" s="25"/>
      <c r="F33" s="25" t="s">
        <v>168</v>
      </c>
      <c r="G33" s="25" t="s">
        <v>79</v>
      </c>
      <c r="H33" s="25"/>
      <c r="I33" s="25" t="s">
        <v>25</v>
      </c>
      <c r="J33" s="84">
        <v>60</v>
      </c>
      <c r="K33" s="84">
        <v>15</v>
      </c>
      <c r="L33" s="84">
        <v>25</v>
      </c>
      <c r="M33" s="84">
        <v>21</v>
      </c>
      <c r="N33" s="84">
        <v>14</v>
      </c>
      <c r="O33" s="84">
        <f t="shared" si="0"/>
        <v>75</v>
      </c>
      <c r="P33" s="84">
        <v>165</v>
      </c>
      <c r="Q33" s="26">
        <f t="shared" si="1"/>
        <v>42</v>
      </c>
      <c r="R33" s="26">
        <f t="shared" si="2"/>
        <v>22.5</v>
      </c>
      <c r="S33" s="26">
        <f t="shared" si="3"/>
        <v>64.5</v>
      </c>
      <c r="T33" s="26"/>
    </row>
    <row r="34" spans="1:20" ht="20.100000000000001" customHeight="1">
      <c r="A34" s="14">
        <v>33</v>
      </c>
      <c r="B34" s="26"/>
      <c r="C34" s="25" t="s">
        <v>137</v>
      </c>
      <c r="D34" s="25" t="s">
        <v>1172</v>
      </c>
      <c r="E34" s="25"/>
      <c r="F34" s="25" t="s">
        <v>168</v>
      </c>
      <c r="G34" s="25" t="s">
        <v>79</v>
      </c>
      <c r="H34" s="25"/>
      <c r="I34" s="25" t="s">
        <v>25</v>
      </c>
      <c r="J34" s="25"/>
      <c r="K34" s="25"/>
      <c r="L34" s="25"/>
      <c r="M34" s="25"/>
      <c r="N34" s="25"/>
      <c r="O34" s="84">
        <f t="shared" si="0"/>
        <v>0</v>
      </c>
      <c r="P34" s="25"/>
      <c r="Q34" s="26">
        <f t="shared" si="1"/>
        <v>0</v>
      </c>
      <c r="R34" s="26">
        <f t="shared" si="2"/>
        <v>0</v>
      </c>
      <c r="S34" s="26">
        <f t="shared" si="3"/>
        <v>0</v>
      </c>
      <c r="T34" s="26" t="s">
        <v>1277</v>
      </c>
    </row>
    <row r="35" spans="1:20" ht="20.100000000000001" customHeight="1">
      <c r="A35" s="14">
        <v>34</v>
      </c>
      <c r="B35" s="26"/>
      <c r="C35" s="25" t="s">
        <v>53</v>
      </c>
      <c r="D35" s="25" t="s">
        <v>1174</v>
      </c>
      <c r="E35" s="25"/>
      <c r="F35" s="25" t="s">
        <v>168</v>
      </c>
      <c r="G35" s="25" t="s">
        <v>79</v>
      </c>
      <c r="H35" s="25"/>
      <c r="I35" s="25" t="s">
        <v>25</v>
      </c>
      <c r="J35" s="25"/>
      <c r="K35" s="26"/>
      <c r="L35" s="26"/>
      <c r="M35" s="26"/>
      <c r="N35" s="26"/>
      <c r="O35" s="84">
        <f t="shared" si="0"/>
        <v>0</v>
      </c>
      <c r="P35" s="26"/>
      <c r="Q35" s="26">
        <f t="shared" si="1"/>
        <v>0</v>
      </c>
      <c r="R35" s="26">
        <f t="shared" si="2"/>
        <v>0</v>
      </c>
      <c r="S35" s="26">
        <f t="shared" si="3"/>
        <v>0</v>
      </c>
      <c r="T35" s="26" t="s">
        <v>1277</v>
      </c>
    </row>
    <row r="36" spans="1:20">
      <c r="A36" s="14">
        <v>35</v>
      </c>
      <c r="B36" s="25"/>
      <c r="C36" s="25" t="s">
        <v>40</v>
      </c>
      <c r="D36" s="25" t="s">
        <v>1183</v>
      </c>
      <c r="E36" s="25"/>
      <c r="F36" s="25" t="s">
        <v>168</v>
      </c>
      <c r="G36" s="25" t="s">
        <v>79</v>
      </c>
      <c r="H36" s="25"/>
      <c r="I36" s="25" t="s">
        <v>25</v>
      </c>
      <c r="J36" s="25"/>
      <c r="K36" s="25"/>
      <c r="L36" s="25"/>
      <c r="M36" s="25"/>
      <c r="N36" s="25"/>
      <c r="O36" s="84">
        <f t="shared" si="0"/>
        <v>0</v>
      </c>
      <c r="P36" s="25"/>
      <c r="Q36" s="26">
        <f t="shared" si="1"/>
        <v>0</v>
      </c>
      <c r="R36" s="26">
        <f t="shared" si="2"/>
        <v>0</v>
      </c>
      <c r="S36" s="26">
        <f t="shared" si="3"/>
        <v>0</v>
      </c>
      <c r="T36" s="25" t="s">
        <v>1277</v>
      </c>
    </row>
    <row r="37" spans="1:20">
      <c r="A37" s="14">
        <v>36</v>
      </c>
      <c r="B37" s="21"/>
      <c r="C37" s="17"/>
      <c r="D37" s="86" t="s">
        <v>1185</v>
      </c>
      <c r="E37" s="17"/>
      <c r="F37" s="17"/>
      <c r="G37" s="17"/>
      <c r="H37" s="17"/>
      <c r="I37" s="17"/>
      <c r="J37" s="87">
        <v>100</v>
      </c>
      <c r="K37" s="87">
        <v>14</v>
      </c>
      <c r="L37" s="87">
        <v>30</v>
      </c>
      <c r="M37" s="87">
        <v>23</v>
      </c>
      <c r="N37" s="87">
        <v>15</v>
      </c>
      <c r="O37" s="87">
        <f t="shared" si="0"/>
        <v>82</v>
      </c>
      <c r="P37" s="87">
        <v>182</v>
      </c>
      <c r="Q37" s="21">
        <f t="shared" si="1"/>
        <v>70</v>
      </c>
      <c r="R37" s="21">
        <f t="shared" si="2"/>
        <v>24.599999999999998</v>
      </c>
      <c r="S37" s="21">
        <f t="shared" si="3"/>
        <v>94.6</v>
      </c>
      <c r="T37" s="194" t="s">
        <v>1275</v>
      </c>
    </row>
    <row r="38" spans="1:20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</sheetData>
  <sortState ref="A2:U38">
    <sortCondition ref="U2:U38"/>
    <sortCondition descending="1" ref="S2:S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97"/>
  <sheetViews>
    <sheetView rightToLeft="1" topLeftCell="G1" zoomScale="97" zoomScaleNormal="100" workbookViewId="0">
      <pane ySplit="2" topLeftCell="A48" activePane="bottomLeft" state="frozen"/>
      <selection activeCell="F1" sqref="F1"/>
      <selection pane="bottomLeft" activeCell="P118" sqref="P118"/>
    </sheetView>
  </sheetViews>
  <sheetFormatPr defaultColWidth="9.125" defaultRowHeight="21"/>
  <cols>
    <col min="1" max="1" width="6.875" style="236" customWidth="1"/>
    <col min="2" max="2" width="34" style="236" customWidth="1"/>
    <col min="3" max="3" width="21.625" style="236" customWidth="1"/>
    <col min="4" max="4" width="7.625" style="236" customWidth="1"/>
    <col min="5" max="5" width="8.625" style="236" bestFit="1" customWidth="1"/>
    <col min="6" max="6" width="20.75" style="236" customWidth="1"/>
    <col min="7" max="7" width="7.125" style="236" customWidth="1"/>
    <col min="8" max="8" width="26" style="236" customWidth="1"/>
    <col min="9" max="9" width="15.625" style="236" customWidth="1"/>
    <col min="10" max="10" width="6.25" style="236" customWidth="1"/>
    <col min="11" max="13" width="12.125" style="236" customWidth="1"/>
    <col min="14" max="14" width="16.625" style="236" customWidth="1"/>
    <col min="15" max="15" width="12.125" style="236" customWidth="1"/>
    <col min="16" max="16" width="44.375" style="236" customWidth="1"/>
    <col min="17" max="16384" width="9.125" style="236"/>
  </cols>
  <sheetData>
    <row r="1" spans="1:16" s="232" customFormat="1">
      <c r="A1" s="230" t="s">
        <v>0</v>
      </c>
      <c r="B1" s="231" t="s">
        <v>1</v>
      </c>
      <c r="C1" s="231" t="s">
        <v>50</v>
      </c>
      <c r="D1" s="230" t="s">
        <v>16</v>
      </c>
      <c r="E1" s="230" t="s">
        <v>15</v>
      </c>
      <c r="F1" s="231" t="s">
        <v>2</v>
      </c>
      <c r="G1" s="230" t="s">
        <v>14</v>
      </c>
      <c r="H1" s="231" t="s">
        <v>17</v>
      </c>
      <c r="I1" s="231" t="s">
        <v>3</v>
      </c>
      <c r="J1" s="231" t="s">
        <v>4</v>
      </c>
      <c r="K1" s="230" t="s">
        <v>9</v>
      </c>
      <c r="L1" s="230" t="s">
        <v>8</v>
      </c>
      <c r="M1" s="230" t="s">
        <v>7</v>
      </c>
      <c r="N1" s="230" t="s">
        <v>6</v>
      </c>
      <c r="O1" s="230" t="s">
        <v>5</v>
      </c>
      <c r="P1" s="230" t="s">
        <v>18</v>
      </c>
    </row>
    <row r="2" spans="1:16" ht="20.100000000000001" customHeight="1">
      <c r="A2" s="233">
        <v>1</v>
      </c>
      <c r="B2" s="234" t="s">
        <v>343</v>
      </c>
      <c r="C2" s="234"/>
      <c r="D2" s="234" t="s">
        <v>168</v>
      </c>
      <c r="E2" s="234" t="s">
        <v>79</v>
      </c>
      <c r="F2" s="234"/>
      <c r="G2" s="234" t="s">
        <v>24</v>
      </c>
      <c r="H2" s="234" t="s">
        <v>56</v>
      </c>
      <c r="I2" s="234" t="s">
        <v>101</v>
      </c>
      <c r="J2" s="234" t="s">
        <v>112</v>
      </c>
      <c r="K2" s="235">
        <v>15</v>
      </c>
      <c r="L2" s="235">
        <v>30</v>
      </c>
      <c r="M2" s="235">
        <v>24</v>
      </c>
      <c r="N2" s="235">
        <v>17</v>
      </c>
      <c r="O2" s="235">
        <f t="shared" ref="O2:O33" si="0">SUM(K2:N2)</f>
        <v>86</v>
      </c>
      <c r="P2" s="235"/>
    </row>
    <row r="3" spans="1:16" ht="20.100000000000001" customHeight="1">
      <c r="A3" s="233">
        <v>2</v>
      </c>
      <c r="B3" s="234" t="s">
        <v>385</v>
      </c>
      <c r="C3" s="234"/>
      <c r="D3" s="234" t="s">
        <v>168</v>
      </c>
      <c r="E3" s="234" t="s">
        <v>79</v>
      </c>
      <c r="F3" s="234"/>
      <c r="G3" s="234" t="s">
        <v>24</v>
      </c>
      <c r="H3" s="234" t="s">
        <v>65</v>
      </c>
      <c r="I3" s="234" t="s">
        <v>81</v>
      </c>
      <c r="J3" s="234" t="s">
        <v>112</v>
      </c>
      <c r="K3" s="235">
        <v>15</v>
      </c>
      <c r="L3" s="235">
        <v>30</v>
      </c>
      <c r="M3" s="235">
        <v>22.75</v>
      </c>
      <c r="N3" s="235">
        <v>16</v>
      </c>
      <c r="O3" s="235">
        <f t="shared" si="0"/>
        <v>83.75</v>
      </c>
      <c r="P3" s="235"/>
    </row>
    <row r="4" spans="1:16" ht="20.100000000000001" customHeight="1">
      <c r="A4" s="233">
        <v>3</v>
      </c>
      <c r="B4" s="234" t="s">
        <v>465</v>
      </c>
      <c r="C4" s="234"/>
      <c r="D4" s="234" t="s">
        <v>168</v>
      </c>
      <c r="E4" s="234" t="s">
        <v>79</v>
      </c>
      <c r="F4" s="234"/>
      <c r="G4" s="234" t="s">
        <v>24</v>
      </c>
      <c r="H4" s="234" t="s">
        <v>58</v>
      </c>
      <c r="I4" s="234" t="s">
        <v>81</v>
      </c>
      <c r="J4" s="234" t="s">
        <v>109</v>
      </c>
      <c r="K4" s="234">
        <v>15</v>
      </c>
      <c r="L4" s="234">
        <v>30</v>
      </c>
      <c r="M4" s="234">
        <v>21.5</v>
      </c>
      <c r="N4" s="234">
        <v>15</v>
      </c>
      <c r="O4" s="235">
        <f t="shared" si="0"/>
        <v>81.5</v>
      </c>
      <c r="P4" s="234"/>
    </row>
    <row r="5" spans="1:16" ht="20.100000000000001" customHeight="1">
      <c r="A5" s="233">
        <v>4</v>
      </c>
      <c r="B5" s="234" t="s">
        <v>416</v>
      </c>
      <c r="C5" s="234"/>
      <c r="D5" s="234" t="s">
        <v>168</v>
      </c>
      <c r="E5" s="234" t="s">
        <v>79</v>
      </c>
      <c r="F5" s="234"/>
      <c r="G5" s="234" t="s">
        <v>24</v>
      </c>
      <c r="H5" s="234" t="s">
        <v>61</v>
      </c>
      <c r="I5" s="234" t="s">
        <v>101</v>
      </c>
      <c r="J5" s="234" t="s">
        <v>112</v>
      </c>
      <c r="K5" s="21">
        <v>15</v>
      </c>
      <c r="L5" s="21">
        <v>30</v>
      </c>
      <c r="M5" s="21">
        <v>21</v>
      </c>
      <c r="N5" s="235">
        <v>14.5</v>
      </c>
      <c r="O5" s="235">
        <f t="shared" si="0"/>
        <v>80.5</v>
      </c>
      <c r="P5" s="21"/>
    </row>
    <row r="6" spans="1:16" ht="20.100000000000001" customHeight="1">
      <c r="A6" s="233">
        <v>5</v>
      </c>
      <c r="B6" s="234" t="s">
        <v>411</v>
      </c>
      <c r="C6" s="234"/>
      <c r="D6" s="234" t="s">
        <v>168</v>
      </c>
      <c r="E6" s="234" t="s">
        <v>79</v>
      </c>
      <c r="F6" s="234"/>
      <c r="G6" s="234" t="s">
        <v>24</v>
      </c>
      <c r="H6" s="234" t="s">
        <v>132</v>
      </c>
      <c r="I6" s="234" t="s">
        <v>81</v>
      </c>
      <c r="J6" s="234" t="s">
        <v>112</v>
      </c>
      <c r="K6" s="235">
        <v>15</v>
      </c>
      <c r="L6" s="235">
        <v>29</v>
      </c>
      <c r="M6" s="235">
        <v>22</v>
      </c>
      <c r="N6" s="235">
        <v>14.25</v>
      </c>
      <c r="O6" s="235">
        <f t="shared" si="0"/>
        <v>80.25</v>
      </c>
      <c r="P6" s="235"/>
    </row>
    <row r="7" spans="1:16" ht="20.100000000000001" customHeight="1">
      <c r="A7" s="233">
        <v>6</v>
      </c>
      <c r="B7" s="234" t="s">
        <v>379</v>
      </c>
      <c r="C7" s="234"/>
      <c r="D7" s="234" t="s">
        <v>168</v>
      </c>
      <c r="E7" s="234" t="s">
        <v>103</v>
      </c>
      <c r="F7" s="234"/>
      <c r="G7" s="234" t="s">
        <v>24</v>
      </c>
      <c r="H7" s="234" t="s">
        <v>127</v>
      </c>
      <c r="I7" s="234" t="s">
        <v>81</v>
      </c>
      <c r="J7" s="234" t="s">
        <v>112</v>
      </c>
      <c r="K7" s="235">
        <v>15</v>
      </c>
      <c r="L7" s="235">
        <v>28</v>
      </c>
      <c r="M7" s="235">
        <v>21.5</v>
      </c>
      <c r="N7" s="235">
        <v>15.5</v>
      </c>
      <c r="O7" s="235">
        <f t="shared" si="0"/>
        <v>80</v>
      </c>
      <c r="P7" s="235"/>
    </row>
    <row r="8" spans="1:16" ht="20.100000000000001" customHeight="1">
      <c r="A8" s="233">
        <v>7</v>
      </c>
      <c r="B8" s="234" t="s">
        <v>352</v>
      </c>
      <c r="C8" s="234"/>
      <c r="D8" s="234" t="s">
        <v>168</v>
      </c>
      <c r="E8" s="234" t="s">
        <v>79</v>
      </c>
      <c r="F8" s="234"/>
      <c r="G8" s="234" t="s">
        <v>24</v>
      </c>
      <c r="H8" s="234" t="s">
        <v>72</v>
      </c>
      <c r="I8" s="234" t="s">
        <v>117</v>
      </c>
      <c r="J8" s="234" t="s">
        <v>109</v>
      </c>
      <c r="K8" s="235">
        <v>15</v>
      </c>
      <c r="L8" s="235">
        <v>29</v>
      </c>
      <c r="M8" s="235">
        <v>21.5</v>
      </c>
      <c r="N8" s="235">
        <v>14</v>
      </c>
      <c r="O8" s="235">
        <f t="shared" si="0"/>
        <v>79.5</v>
      </c>
      <c r="P8" s="235"/>
    </row>
    <row r="9" spans="1:16" ht="20.100000000000001" customHeight="1">
      <c r="A9" s="233">
        <v>8</v>
      </c>
      <c r="B9" s="234" t="s">
        <v>365</v>
      </c>
      <c r="C9" s="234"/>
      <c r="D9" s="234" t="s">
        <v>168</v>
      </c>
      <c r="E9" s="234" t="s">
        <v>79</v>
      </c>
      <c r="F9" s="234"/>
      <c r="G9" s="234" t="s">
        <v>24</v>
      </c>
      <c r="H9" s="234" t="s">
        <v>69</v>
      </c>
      <c r="I9" s="234" t="s">
        <v>89</v>
      </c>
      <c r="J9" s="234" t="s">
        <v>112</v>
      </c>
      <c r="K9" s="235">
        <v>15</v>
      </c>
      <c r="L9" s="235">
        <v>29</v>
      </c>
      <c r="M9" s="235">
        <v>21.25</v>
      </c>
      <c r="N9" s="235">
        <v>14</v>
      </c>
      <c r="O9" s="235">
        <f t="shared" si="0"/>
        <v>79.25</v>
      </c>
      <c r="P9" s="235"/>
    </row>
    <row r="10" spans="1:16" ht="20.100000000000001" customHeight="1">
      <c r="A10" s="233">
        <v>9</v>
      </c>
      <c r="B10" s="234" t="s">
        <v>358</v>
      </c>
      <c r="C10" s="234"/>
      <c r="D10" s="234" t="s">
        <v>168</v>
      </c>
      <c r="E10" s="234" t="s">
        <v>79</v>
      </c>
      <c r="F10" s="234"/>
      <c r="G10" s="234" t="s">
        <v>24</v>
      </c>
      <c r="H10" s="234" t="s">
        <v>118</v>
      </c>
      <c r="I10" s="234" t="s">
        <v>83</v>
      </c>
      <c r="J10" s="234" t="s">
        <v>112</v>
      </c>
      <c r="K10" s="235">
        <v>15</v>
      </c>
      <c r="L10" s="235">
        <v>27</v>
      </c>
      <c r="M10" s="235">
        <v>22.5</v>
      </c>
      <c r="N10" s="235">
        <v>14.5</v>
      </c>
      <c r="O10" s="235">
        <f t="shared" si="0"/>
        <v>79</v>
      </c>
      <c r="P10" s="235"/>
    </row>
    <row r="11" spans="1:16" ht="20.100000000000001" customHeight="1">
      <c r="A11" s="233">
        <v>10</v>
      </c>
      <c r="B11" s="234" t="s">
        <v>438</v>
      </c>
      <c r="C11" s="234"/>
      <c r="D11" s="234" t="s">
        <v>168</v>
      </c>
      <c r="E11" s="234" t="s">
        <v>79</v>
      </c>
      <c r="F11" s="234"/>
      <c r="G11" s="234" t="s">
        <v>24</v>
      </c>
      <c r="H11" s="234" t="s">
        <v>55</v>
      </c>
      <c r="I11" s="234" t="s">
        <v>101</v>
      </c>
      <c r="J11" s="234" t="s">
        <v>112</v>
      </c>
      <c r="K11" s="235">
        <v>15</v>
      </c>
      <c r="L11" s="235">
        <v>27</v>
      </c>
      <c r="M11" s="235">
        <v>22</v>
      </c>
      <c r="N11" s="235">
        <v>14</v>
      </c>
      <c r="O11" s="235">
        <f t="shared" si="0"/>
        <v>78</v>
      </c>
      <c r="P11" s="235"/>
    </row>
    <row r="12" spans="1:16" ht="20.100000000000001" customHeight="1">
      <c r="A12" s="233">
        <v>11</v>
      </c>
      <c r="B12" s="234" t="s">
        <v>373</v>
      </c>
      <c r="C12" s="234"/>
      <c r="D12" s="234" t="s">
        <v>168</v>
      </c>
      <c r="E12" s="234" t="s">
        <v>79</v>
      </c>
      <c r="F12" s="234"/>
      <c r="G12" s="234" t="s">
        <v>24</v>
      </c>
      <c r="H12" s="234" t="s">
        <v>124</v>
      </c>
      <c r="I12" s="234" t="s">
        <v>374</v>
      </c>
      <c r="J12" s="234" t="s">
        <v>112</v>
      </c>
      <c r="K12" s="235">
        <v>15</v>
      </c>
      <c r="L12" s="235">
        <v>27</v>
      </c>
      <c r="M12" s="235">
        <v>21.25</v>
      </c>
      <c r="N12" s="235">
        <v>14</v>
      </c>
      <c r="O12" s="235">
        <f t="shared" si="0"/>
        <v>77.25</v>
      </c>
      <c r="P12" s="235"/>
    </row>
    <row r="13" spans="1:16" ht="20.100000000000001" customHeight="1">
      <c r="A13" s="233">
        <v>12</v>
      </c>
      <c r="B13" s="234" t="s">
        <v>447</v>
      </c>
      <c r="C13" s="234"/>
      <c r="D13" s="234" t="s">
        <v>168</v>
      </c>
      <c r="E13" s="234" t="s">
        <v>79</v>
      </c>
      <c r="F13" s="234"/>
      <c r="G13" s="234" t="s">
        <v>24</v>
      </c>
      <c r="H13" s="234" t="s">
        <v>100</v>
      </c>
      <c r="I13" s="234" t="s">
        <v>101</v>
      </c>
      <c r="J13" s="234" t="s">
        <v>109</v>
      </c>
      <c r="K13" s="235">
        <v>15</v>
      </c>
      <c r="L13" s="235">
        <v>28</v>
      </c>
      <c r="M13" s="235">
        <v>21</v>
      </c>
      <c r="N13" s="235">
        <v>13</v>
      </c>
      <c r="O13" s="235">
        <f t="shared" si="0"/>
        <v>77</v>
      </c>
      <c r="P13" s="235"/>
    </row>
    <row r="14" spans="1:16" ht="20.100000000000001" customHeight="1">
      <c r="A14" s="233">
        <v>13</v>
      </c>
      <c r="B14" s="234" t="s">
        <v>424</v>
      </c>
      <c r="C14" s="234"/>
      <c r="D14" s="234" t="s">
        <v>168</v>
      </c>
      <c r="E14" s="234" t="s">
        <v>79</v>
      </c>
      <c r="F14" s="234"/>
      <c r="G14" s="234" t="s">
        <v>134</v>
      </c>
      <c r="H14" s="234" t="s">
        <v>52</v>
      </c>
      <c r="I14" s="234" t="s">
        <v>133</v>
      </c>
      <c r="J14" s="234" t="s">
        <v>112</v>
      </c>
      <c r="K14" s="235">
        <v>15</v>
      </c>
      <c r="L14" s="235">
        <v>27</v>
      </c>
      <c r="M14" s="235">
        <v>21.5</v>
      </c>
      <c r="N14" s="235">
        <v>13.25</v>
      </c>
      <c r="O14" s="235">
        <f t="shared" si="0"/>
        <v>76.75</v>
      </c>
      <c r="P14" s="235"/>
    </row>
    <row r="15" spans="1:16" ht="20.100000000000001" customHeight="1">
      <c r="A15" s="233">
        <v>14</v>
      </c>
      <c r="B15" s="234" t="s">
        <v>403</v>
      </c>
      <c r="C15" s="234"/>
      <c r="D15" s="234" t="s">
        <v>168</v>
      </c>
      <c r="E15" s="234" t="s">
        <v>79</v>
      </c>
      <c r="F15" s="234"/>
      <c r="G15" s="234" t="s">
        <v>24</v>
      </c>
      <c r="H15" s="234" t="s">
        <v>53</v>
      </c>
      <c r="I15" s="234" t="s">
        <v>110</v>
      </c>
      <c r="J15" s="234" t="s">
        <v>112</v>
      </c>
      <c r="K15" s="235">
        <v>15</v>
      </c>
      <c r="L15" s="235">
        <v>27</v>
      </c>
      <c r="M15" s="235">
        <v>21</v>
      </c>
      <c r="N15" s="235">
        <v>13</v>
      </c>
      <c r="O15" s="235">
        <f t="shared" si="0"/>
        <v>76</v>
      </c>
      <c r="P15" s="235"/>
    </row>
    <row r="16" spans="1:16" ht="20.100000000000001" customHeight="1">
      <c r="A16" s="233">
        <v>15</v>
      </c>
      <c r="B16" s="234" t="s">
        <v>423</v>
      </c>
      <c r="C16" s="234"/>
      <c r="D16" s="234" t="s">
        <v>168</v>
      </c>
      <c r="E16" s="234" t="s">
        <v>79</v>
      </c>
      <c r="F16" s="234"/>
      <c r="G16" s="234" t="s">
        <v>134</v>
      </c>
      <c r="H16" s="234" t="s">
        <v>52</v>
      </c>
      <c r="I16" s="234" t="s">
        <v>81</v>
      </c>
      <c r="J16" s="234" t="s">
        <v>112</v>
      </c>
      <c r="K16" s="235">
        <v>15</v>
      </c>
      <c r="L16" s="235">
        <v>27</v>
      </c>
      <c r="M16" s="235">
        <v>20.5</v>
      </c>
      <c r="N16" s="235">
        <v>13</v>
      </c>
      <c r="O16" s="235">
        <f t="shared" si="0"/>
        <v>75.5</v>
      </c>
      <c r="P16" s="235"/>
    </row>
    <row r="17" spans="1:16" ht="20.100000000000001" customHeight="1">
      <c r="A17" s="233">
        <v>16</v>
      </c>
      <c r="B17" s="234" t="s">
        <v>311</v>
      </c>
      <c r="C17" s="234"/>
      <c r="D17" s="234" t="s">
        <v>168</v>
      </c>
      <c r="E17" s="234" t="s">
        <v>79</v>
      </c>
      <c r="F17" s="234"/>
      <c r="G17" s="234" t="s">
        <v>24</v>
      </c>
      <c r="H17" s="234" t="s">
        <v>84</v>
      </c>
      <c r="I17" s="234" t="s">
        <v>81</v>
      </c>
      <c r="J17" s="234" t="s">
        <v>112</v>
      </c>
      <c r="K17" s="235">
        <v>15</v>
      </c>
      <c r="L17" s="235">
        <v>27</v>
      </c>
      <c r="M17" s="235">
        <v>20.5</v>
      </c>
      <c r="N17" s="235">
        <v>13</v>
      </c>
      <c r="O17" s="235">
        <f t="shared" si="0"/>
        <v>75.5</v>
      </c>
      <c r="P17" s="235"/>
    </row>
    <row r="18" spans="1:16" ht="20.100000000000001" customHeight="1">
      <c r="A18" s="233">
        <v>17</v>
      </c>
      <c r="B18" s="234" t="s">
        <v>458</v>
      </c>
      <c r="C18" s="234"/>
      <c r="D18" s="234" t="s">
        <v>168</v>
      </c>
      <c r="E18" s="234" t="s">
        <v>79</v>
      </c>
      <c r="F18" s="234"/>
      <c r="G18" s="234" t="s">
        <v>24</v>
      </c>
      <c r="H18" s="234" t="s">
        <v>280</v>
      </c>
      <c r="I18" s="234" t="s">
        <v>101</v>
      </c>
      <c r="J18" s="234" t="s">
        <v>109</v>
      </c>
      <c r="K18" s="235">
        <v>15</v>
      </c>
      <c r="L18" s="235">
        <v>27</v>
      </c>
      <c r="M18" s="235">
        <v>20</v>
      </c>
      <c r="N18" s="235">
        <v>13.25</v>
      </c>
      <c r="O18" s="235">
        <f t="shared" si="0"/>
        <v>75.25</v>
      </c>
      <c r="P18" s="235"/>
    </row>
    <row r="19" spans="1:16" ht="20.100000000000001" customHeight="1">
      <c r="A19" s="233">
        <v>18</v>
      </c>
      <c r="B19" s="234" t="s">
        <v>446</v>
      </c>
      <c r="C19" s="234"/>
      <c r="D19" s="234" t="s">
        <v>168</v>
      </c>
      <c r="E19" s="234" t="s">
        <v>79</v>
      </c>
      <c r="F19" s="234"/>
      <c r="G19" s="234" t="s">
        <v>24</v>
      </c>
      <c r="H19" s="234" t="s">
        <v>100</v>
      </c>
      <c r="I19" s="234" t="s">
        <v>101</v>
      </c>
      <c r="J19" s="234" t="s">
        <v>109</v>
      </c>
      <c r="K19" s="235">
        <v>15</v>
      </c>
      <c r="L19" s="235">
        <v>26</v>
      </c>
      <c r="M19" s="235">
        <v>20.75</v>
      </c>
      <c r="N19" s="235">
        <v>12.75</v>
      </c>
      <c r="O19" s="235">
        <f t="shared" si="0"/>
        <v>74.5</v>
      </c>
      <c r="P19" s="235"/>
    </row>
    <row r="20" spans="1:16" ht="20.100000000000001" customHeight="1">
      <c r="A20" s="233">
        <v>19</v>
      </c>
      <c r="B20" s="234" t="s">
        <v>319</v>
      </c>
      <c r="C20" s="234"/>
      <c r="D20" s="234" t="s">
        <v>168</v>
      </c>
      <c r="E20" s="234" t="s">
        <v>79</v>
      </c>
      <c r="F20" s="234"/>
      <c r="G20" s="234" t="s">
        <v>24</v>
      </c>
      <c r="H20" s="234" t="s">
        <v>113</v>
      </c>
      <c r="I20" s="234" t="s">
        <v>101</v>
      </c>
      <c r="J20" s="234" t="s">
        <v>112</v>
      </c>
      <c r="K20" s="235">
        <v>15</v>
      </c>
      <c r="L20" s="235">
        <v>25</v>
      </c>
      <c r="M20" s="235">
        <v>21</v>
      </c>
      <c r="N20" s="235">
        <v>13</v>
      </c>
      <c r="O20" s="235">
        <f t="shared" si="0"/>
        <v>74</v>
      </c>
      <c r="P20" s="235"/>
    </row>
    <row r="21" spans="1:16" ht="20.100000000000001" customHeight="1">
      <c r="A21" s="233">
        <v>20</v>
      </c>
      <c r="B21" s="234" t="s">
        <v>425</v>
      </c>
      <c r="C21" s="234"/>
      <c r="D21" s="234" t="s">
        <v>168</v>
      </c>
      <c r="E21" s="234" t="s">
        <v>79</v>
      </c>
      <c r="F21" s="234"/>
      <c r="G21" s="234" t="s">
        <v>24</v>
      </c>
      <c r="H21" s="234" t="s">
        <v>60</v>
      </c>
      <c r="I21" s="234" t="s">
        <v>86</v>
      </c>
      <c r="J21" s="234" t="s">
        <v>112</v>
      </c>
      <c r="K21" s="235">
        <v>15</v>
      </c>
      <c r="L21" s="235">
        <v>27</v>
      </c>
      <c r="M21" s="235">
        <v>19</v>
      </c>
      <c r="N21" s="235">
        <v>13</v>
      </c>
      <c r="O21" s="235">
        <f t="shared" si="0"/>
        <v>74</v>
      </c>
      <c r="P21" s="235"/>
    </row>
    <row r="22" spans="1:16" ht="20.100000000000001" customHeight="1">
      <c r="A22" s="233">
        <v>21</v>
      </c>
      <c r="B22" s="234" t="s">
        <v>348</v>
      </c>
      <c r="C22" s="234"/>
      <c r="D22" s="234" t="s">
        <v>168</v>
      </c>
      <c r="E22" s="234" t="s">
        <v>79</v>
      </c>
      <c r="F22" s="234"/>
      <c r="G22" s="234" t="s">
        <v>24</v>
      </c>
      <c r="H22" s="234" t="s">
        <v>196</v>
      </c>
      <c r="I22" s="234" t="s">
        <v>101</v>
      </c>
      <c r="J22" s="234" t="s">
        <v>109</v>
      </c>
      <c r="K22" s="235">
        <v>15</v>
      </c>
      <c r="L22" s="235">
        <v>25</v>
      </c>
      <c r="M22" s="235">
        <v>20.5</v>
      </c>
      <c r="N22" s="235">
        <v>13</v>
      </c>
      <c r="O22" s="235">
        <f t="shared" si="0"/>
        <v>73.5</v>
      </c>
      <c r="P22" s="235"/>
    </row>
    <row r="23" spans="1:16" ht="20.100000000000001" customHeight="1">
      <c r="A23" s="233">
        <v>22</v>
      </c>
      <c r="B23" s="234" t="s">
        <v>329</v>
      </c>
      <c r="C23" s="234"/>
      <c r="D23" s="234" t="s">
        <v>168</v>
      </c>
      <c r="E23" s="234" t="s">
        <v>79</v>
      </c>
      <c r="F23" s="234"/>
      <c r="G23" s="234" t="s">
        <v>24</v>
      </c>
      <c r="H23" s="234" t="s">
        <v>182</v>
      </c>
      <c r="I23" s="234" t="s">
        <v>81</v>
      </c>
      <c r="J23" s="234" t="s">
        <v>125</v>
      </c>
      <c r="K23" s="235">
        <v>15</v>
      </c>
      <c r="L23" s="235">
        <v>25</v>
      </c>
      <c r="M23" s="235">
        <v>20</v>
      </c>
      <c r="N23" s="235">
        <v>13</v>
      </c>
      <c r="O23" s="235">
        <f t="shared" si="0"/>
        <v>73</v>
      </c>
      <c r="P23" s="235"/>
    </row>
    <row r="24" spans="1:16" ht="20.100000000000001" customHeight="1">
      <c r="A24" s="233">
        <v>23</v>
      </c>
      <c r="B24" s="234" t="s">
        <v>353</v>
      </c>
      <c r="C24" s="234"/>
      <c r="D24" s="234" t="s">
        <v>168</v>
      </c>
      <c r="E24" s="234" t="s">
        <v>79</v>
      </c>
      <c r="F24" s="234"/>
      <c r="G24" s="234" t="s">
        <v>24</v>
      </c>
      <c r="H24" s="234" t="s">
        <v>72</v>
      </c>
      <c r="I24" s="234" t="s">
        <v>81</v>
      </c>
      <c r="J24" s="234" t="s">
        <v>109</v>
      </c>
      <c r="K24" s="235">
        <v>13</v>
      </c>
      <c r="L24" s="235">
        <v>25</v>
      </c>
      <c r="M24" s="235">
        <v>21.5</v>
      </c>
      <c r="N24" s="235">
        <v>13.5</v>
      </c>
      <c r="O24" s="235">
        <f t="shared" si="0"/>
        <v>73</v>
      </c>
      <c r="P24" s="235"/>
    </row>
    <row r="25" spans="1:16" ht="20.100000000000001" customHeight="1">
      <c r="A25" s="233">
        <v>24</v>
      </c>
      <c r="B25" s="234" t="s">
        <v>366</v>
      </c>
      <c r="C25" s="234"/>
      <c r="D25" s="234" t="s">
        <v>168</v>
      </c>
      <c r="E25" s="234" t="s">
        <v>79</v>
      </c>
      <c r="F25" s="234"/>
      <c r="G25" s="234" t="s">
        <v>24</v>
      </c>
      <c r="H25" s="234" t="s">
        <v>69</v>
      </c>
      <c r="I25" s="234" t="s">
        <v>89</v>
      </c>
      <c r="J25" s="234" t="s">
        <v>112</v>
      </c>
      <c r="K25" s="235">
        <v>15</v>
      </c>
      <c r="L25" s="235">
        <v>25</v>
      </c>
      <c r="M25" s="235">
        <v>20.25</v>
      </c>
      <c r="N25" s="235">
        <v>12.5</v>
      </c>
      <c r="O25" s="235">
        <f t="shared" si="0"/>
        <v>72.75</v>
      </c>
      <c r="P25" s="235"/>
    </row>
    <row r="26" spans="1:16" ht="20.100000000000001" customHeight="1">
      <c r="A26" s="233">
        <v>25</v>
      </c>
      <c r="B26" s="234" t="s">
        <v>398</v>
      </c>
      <c r="C26" s="234"/>
      <c r="D26" s="234" t="s">
        <v>168</v>
      </c>
      <c r="E26" s="234" t="s">
        <v>79</v>
      </c>
      <c r="F26" s="234"/>
      <c r="G26" s="234" t="s">
        <v>24</v>
      </c>
      <c r="H26" s="234" t="s">
        <v>64</v>
      </c>
      <c r="I26" s="234" t="s">
        <v>86</v>
      </c>
      <c r="J26" s="234" t="s">
        <v>112</v>
      </c>
      <c r="K26" s="235">
        <v>15</v>
      </c>
      <c r="L26" s="235">
        <v>22</v>
      </c>
      <c r="M26" s="235">
        <v>21.25</v>
      </c>
      <c r="N26" s="235">
        <v>13.5</v>
      </c>
      <c r="O26" s="235">
        <f t="shared" si="0"/>
        <v>71.75</v>
      </c>
      <c r="P26" s="235"/>
    </row>
    <row r="27" spans="1:16" ht="20.100000000000001" customHeight="1">
      <c r="A27" s="233">
        <v>26</v>
      </c>
      <c r="B27" s="234" t="s">
        <v>402</v>
      </c>
      <c r="C27" s="234"/>
      <c r="D27" s="234" t="s">
        <v>168</v>
      </c>
      <c r="E27" s="234" t="s">
        <v>79</v>
      </c>
      <c r="F27" s="234"/>
      <c r="G27" s="234" t="s">
        <v>24</v>
      </c>
      <c r="H27" s="234" t="s">
        <v>53</v>
      </c>
      <c r="I27" s="234" t="s">
        <v>110</v>
      </c>
      <c r="J27" s="234" t="s">
        <v>112</v>
      </c>
      <c r="K27" s="235">
        <v>15</v>
      </c>
      <c r="L27" s="235">
        <v>23</v>
      </c>
      <c r="M27" s="235">
        <v>20</v>
      </c>
      <c r="N27" s="235">
        <v>13.5</v>
      </c>
      <c r="O27" s="235">
        <f t="shared" si="0"/>
        <v>71.5</v>
      </c>
      <c r="P27" s="235"/>
    </row>
    <row r="28" spans="1:16" ht="20.100000000000001" customHeight="1">
      <c r="A28" s="233">
        <v>27</v>
      </c>
      <c r="B28" s="234" t="s">
        <v>335</v>
      </c>
      <c r="C28" s="234"/>
      <c r="D28" s="234" t="s">
        <v>168</v>
      </c>
      <c r="E28" s="234" t="s">
        <v>79</v>
      </c>
      <c r="F28" s="234"/>
      <c r="G28" s="234" t="s">
        <v>24</v>
      </c>
      <c r="H28" s="234" t="s">
        <v>87</v>
      </c>
      <c r="I28" s="234" t="s">
        <v>81</v>
      </c>
      <c r="J28" s="234" t="s">
        <v>109</v>
      </c>
      <c r="K28" s="235">
        <v>15</v>
      </c>
      <c r="L28" s="235">
        <v>24</v>
      </c>
      <c r="M28" s="235">
        <v>18</v>
      </c>
      <c r="N28" s="235">
        <v>12.75</v>
      </c>
      <c r="O28" s="235">
        <f t="shared" si="0"/>
        <v>69.75</v>
      </c>
      <c r="P28" s="235"/>
    </row>
    <row r="29" spans="1:16" ht="20.100000000000001" customHeight="1">
      <c r="A29" s="233">
        <v>28</v>
      </c>
      <c r="B29" s="234" t="s">
        <v>476</v>
      </c>
      <c r="C29" s="234"/>
      <c r="D29" s="234" t="s">
        <v>168</v>
      </c>
      <c r="E29" s="234" t="s">
        <v>103</v>
      </c>
      <c r="F29" s="234"/>
      <c r="G29" s="234" t="s">
        <v>24</v>
      </c>
      <c r="H29" s="234" t="s">
        <v>105</v>
      </c>
      <c r="I29" s="234" t="s">
        <v>477</v>
      </c>
      <c r="J29" s="234" t="s">
        <v>112</v>
      </c>
      <c r="K29" s="234">
        <v>15</v>
      </c>
      <c r="L29" s="234">
        <v>21</v>
      </c>
      <c r="M29" s="234">
        <v>20.5</v>
      </c>
      <c r="N29" s="234">
        <v>12.75</v>
      </c>
      <c r="O29" s="235">
        <f t="shared" si="0"/>
        <v>69.25</v>
      </c>
      <c r="P29" s="234"/>
    </row>
    <row r="30" spans="1:16" ht="20.100000000000001" customHeight="1">
      <c r="A30" s="233">
        <v>29</v>
      </c>
      <c r="B30" s="234" t="s">
        <v>387</v>
      </c>
      <c r="C30" s="234"/>
      <c r="D30" s="234" t="s">
        <v>168</v>
      </c>
      <c r="E30" s="234" t="s">
        <v>79</v>
      </c>
      <c r="F30" s="234"/>
      <c r="G30" s="234" t="s">
        <v>24</v>
      </c>
      <c r="H30" s="234" t="s">
        <v>32</v>
      </c>
      <c r="I30" s="234" t="s">
        <v>81</v>
      </c>
      <c r="J30" s="234" t="s">
        <v>112</v>
      </c>
      <c r="K30" s="235">
        <v>15</v>
      </c>
      <c r="L30" s="235">
        <v>20</v>
      </c>
      <c r="M30" s="235">
        <v>20.5</v>
      </c>
      <c r="N30" s="235">
        <v>13</v>
      </c>
      <c r="O30" s="235">
        <f t="shared" si="0"/>
        <v>68.5</v>
      </c>
      <c r="P30" s="235"/>
    </row>
    <row r="31" spans="1:16" ht="20.100000000000001" customHeight="1">
      <c r="A31" s="233">
        <v>30</v>
      </c>
      <c r="B31" s="234" t="s">
        <v>396</v>
      </c>
      <c r="C31" s="234"/>
      <c r="D31" s="234" t="s">
        <v>168</v>
      </c>
      <c r="E31" s="234" t="s">
        <v>79</v>
      </c>
      <c r="F31" s="234"/>
      <c r="G31" s="234" t="s">
        <v>24</v>
      </c>
      <c r="H31" s="234" t="s">
        <v>64</v>
      </c>
      <c r="I31" s="234" t="s">
        <v>91</v>
      </c>
      <c r="J31" s="234" t="s">
        <v>112</v>
      </c>
      <c r="K31" s="235">
        <v>15</v>
      </c>
      <c r="L31" s="235">
        <v>20</v>
      </c>
      <c r="M31" s="235">
        <v>19.75</v>
      </c>
      <c r="N31" s="235">
        <v>12.75</v>
      </c>
      <c r="O31" s="235">
        <f t="shared" si="0"/>
        <v>67.5</v>
      </c>
      <c r="P31" s="235"/>
    </row>
    <row r="32" spans="1:16" ht="20.100000000000001" customHeight="1">
      <c r="A32" s="233">
        <v>31</v>
      </c>
      <c r="B32" s="234" t="s">
        <v>441</v>
      </c>
      <c r="C32" s="234"/>
      <c r="D32" s="234" t="s">
        <v>168</v>
      </c>
      <c r="E32" s="234" t="s">
        <v>79</v>
      </c>
      <c r="F32" s="234"/>
      <c r="G32" s="234" t="s">
        <v>24</v>
      </c>
      <c r="H32" s="234" t="s">
        <v>27</v>
      </c>
      <c r="I32" s="234" t="s">
        <v>81</v>
      </c>
      <c r="J32" s="234" t="s">
        <v>112</v>
      </c>
      <c r="K32" s="235">
        <v>15</v>
      </c>
      <c r="L32" s="235">
        <v>20</v>
      </c>
      <c r="M32" s="235">
        <v>19</v>
      </c>
      <c r="N32" s="235">
        <v>12.5</v>
      </c>
      <c r="O32" s="235">
        <f t="shared" si="0"/>
        <v>66.5</v>
      </c>
      <c r="P32" s="235"/>
    </row>
    <row r="33" spans="1:16" ht="20.100000000000001" customHeight="1">
      <c r="A33" s="233">
        <v>32</v>
      </c>
      <c r="B33" s="234" t="s">
        <v>330</v>
      </c>
      <c r="C33" s="234"/>
      <c r="D33" s="234" t="s">
        <v>168</v>
      </c>
      <c r="E33" s="234" t="s">
        <v>79</v>
      </c>
      <c r="F33" s="234"/>
      <c r="G33" s="234" t="s">
        <v>24</v>
      </c>
      <c r="H33" s="234" t="s">
        <v>182</v>
      </c>
      <c r="I33" s="234" t="s">
        <v>81</v>
      </c>
      <c r="J33" s="234" t="s">
        <v>125</v>
      </c>
      <c r="K33" s="235">
        <v>15</v>
      </c>
      <c r="L33" s="235">
        <v>20</v>
      </c>
      <c r="M33" s="235">
        <v>19</v>
      </c>
      <c r="N33" s="235">
        <v>12</v>
      </c>
      <c r="O33" s="235">
        <f t="shared" si="0"/>
        <v>66</v>
      </c>
      <c r="P33" s="235"/>
    </row>
    <row r="34" spans="1:16" ht="20.100000000000001" customHeight="1">
      <c r="A34" s="233">
        <v>33</v>
      </c>
      <c r="B34" s="234" t="s">
        <v>484</v>
      </c>
      <c r="C34" s="234"/>
      <c r="D34" s="234" t="s">
        <v>168</v>
      </c>
      <c r="E34" s="234" t="s">
        <v>79</v>
      </c>
      <c r="F34" s="234"/>
      <c r="G34" s="234" t="s">
        <v>24</v>
      </c>
      <c r="H34" s="234" t="s">
        <v>75</v>
      </c>
      <c r="I34" s="234"/>
      <c r="J34" s="234" t="s">
        <v>112</v>
      </c>
      <c r="K34" s="234">
        <v>15</v>
      </c>
      <c r="L34" s="234">
        <v>20</v>
      </c>
      <c r="M34" s="234">
        <v>20</v>
      </c>
      <c r="N34" s="234">
        <v>11</v>
      </c>
      <c r="O34" s="235">
        <f t="shared" ref="O34:O65" si="1">SUM(K34:N34)</f>
        <v>66</v>
      </c>
      <c r="P34" s="234"/>
    </row>
    <row r="35" spans="1:16" ht="20.100000000000001" customHeight="1">
      <c r="A35" s="233">
        <v>34</v>
      </c>
      <c r="B35" s="234" t="s">
        <v>337</v>
      </c>
      <c r="C35" s="234"/>
      <c r="D35" s="234" t="s">
        <v>168</v>
      </c>
      <c r="E35" s="234" t="s">
        <v>103</v>
      </c>
      <c r="F35" s="234"/>
      <c r="G35" s="234" t="s">
        <v>338</v>
      </c>
      <c r="H35" s="234" t="s">
        <v>115</v>
      </c>
      <c r="I35" s="234" t="s">
        <v>81</v>
      </c>
      <c r="J35" s="234" t="s">
        <v>339</v>
      </c>
      <c r="K35" s="235">
        <v>15</v>
      </c>
      <c r="L35" s="235">
        <v>22</v>
      </c>
      <c r="M35" s="235">
        <v>20.25</v>
      </c>
      <c r="N35" s="235"/>
      <c r="O35" s="235">
        <f t="shared" si="1"/>
        <v>57.25</v>
      </c>
      <c r="P35" s="235" t="s">
        <v>1223</v>
      </c>
    </row>
    <row r="36" spans="1:16" ht="20.100000000000001" customHeight="1">
      <c r="A36" s="233">
        <v>35</v>
      </c>
      <c r="B36" s="234" t="s">
        <v>304</v>
      </c>
      <c r="C36" s="234"/>
      <c r="D36" s="234" t="s">
        <v>168</v>
      </c>
      <c r="E36" s="234" t="s">
        <v>79</v>
      </c>
      <c r="F36" s="234"/>
      <c r="G36" s="234" t="s">
        <v>24</v>
      </c>
      <c r="H36" s="234" t="s">
        <v>80</v>
      </c>
      <c r="I36" s="234" t="s">
        <v>110</v>
      </c>
      <c r="J36" s="234" t="s">
        <v>109</v>
      </c>
      <c r="K36" s="235"/>
      <c r="L36" s="235"/>
      <c r="M36" s="235"/>
      <c r="N36" s="235"/>
      <c r="O36" s="235">
        <f t="shared" si="1"/>
        <v>0</v>
      </c>
      <c r="P36" s="235" t="s">
        <v>1276</v>
      </c>
    </row>
    <row r="37" spans="1:16" ht="20.100000000000001" customHeight="1">
      <c r="A37" s="233">
        <v>36</v>
      </c>
      <c r="B37" s="234" t="s">
        <v>389</v>
      </c>
      <c r="C37" s="234"/>
      <c r="D37" s="234" t="s">
        <v>168</v>
      </c>
      <c r="E37" s="234" t="s">
        <v>79</v>
      </c>
      <c r="F37" s="234"/>
      <c r="G37" s="234" t="s">
        <v>24</v>
      </c>
      <c r="H37" s="234" t="s">
        <v>28</v>
      </c>
      <c r="I37" s="234" t="s">
        <v>110</v>
      </c>
      <c r="J37" s="234" t="s">
        <v>109</v>
      </c>
      <c r="K37" s="235"/>
      <c r="L37" s="235"/>
      <c r="M37" s="235"/>
      <c r="N37" s="235"/>
      <c r="O37" s="235">
        <f t="shared" si="1"/>
        <v>0</v>
      </c>
      <c r="P37" s="235" t="s">
        <v>1276</v>
      </c>
    </row>
    <row r="38" spans="1:16" ht="20.100000000000001" customHeight="1">
      <c r="A38" s="233">
        <v>37</v>
      </c>
      <c r="B38" s="234" t="s">
        <v>491</v>
      </c>
      <c r="C38" s="234"/>
      <c r="D38" s="234" t="s">
        <v>168</v>
      </c>
      <c r="E38" s="234" t="s">
        <v>79</v>
      </c>
      <c r="F38" s="234"/>
      <c r="G38" s="234" t="s">
        <v>24</v>
      </c>
      <c r="H38" s="234" t="s">
        <v>299</v>
      </c>
      <c r="I38" s="234" t="s">
        <v>101</v>
      </c>
      <c r="J38" s="234" t="s">
        <v>109</v>
      </c>
      <c r="K38" s="234"/>
      <c r="L38" s="234"/>
      <c r="M38" s="234"/>
      <c r="N38" s="234"/>
      <c r="O38" s="235">
        <f t="shared" si="1"/>
        <v>0</v>
      </c>
      <c r="P38" s="234" t="s">
        <v>1276</v>
      </c>
    </row>
    <row r="39" spans="1:16" ht="20.100000000000001" customHeight="1">
      <c r="A39" s="233">
        <v>38</v>
      </c>
      <c r="B39" s="237" t="s">
        <v>356</v>
      </c>
      <c r="C39" s="237"/>
      <c r="D39" s="237" t="s">
        <v>168</v>
      </c>
      <c r="E39" s="237" t="s">
        <v>79</v>
      </c>
      <c r="F39" s="237"/>
      <c r="G39" s="237" t="s">
        <v>26</v>
      </c>
      <c r="H39" s="237" t="s">
        <v>72</v>
      </c>
      <c r="I39" s="237" t="s">
        <v>81</v>
      </c>
      <c r="J39" s="237" t="s">
        <v>109</v>
      </c>
      <c r="K39" s="238">
        <v>15</v>
      </c>
      <c r="L39" s="238">
        <v>32</v>
      </c>
      <c r="M39" s="238">
        <v>25</v>
      </c>
      <c r="N39" s="238">
        <v>16.25</v>
      </c>
      <c r="O39" s="238">
        <f t="shared" si="1"/>
        <v>88.25</v>
      </c>
      <c r="P39" s="238"/>
    </row>
    <row r="40" spans="1:16" ht="20.100000000000001" customHeight="1">
      <c r="A40" s="233">
        <v>39</v>
      </c>
      <c r="B40" s="237" t="s">
        <v>1225</v>
      </c>
      <c r="C40" s="237"/>
      <c r="D40" s="237"/>
      <c r="E40" s="237"/>
      <c r="F40" s="237"/>
      <c r="G40" s="237" t="s">
        <v>26</v>
      </c>
      <c r="H40" s="237" t="s">
        <v>1226</v>
      </c>
      <c r="I40" s="237"/>
      <c r="J40" s="237" t="s">
        <v>125</v>
      </c>
      <c r="K40" s="237">
        <v>15</v>
      </c>
      <c r="L40" s="237">
        <v>32</v>
      </c>
      <c r="M40" s="237">
        <v>24</v>
      </c>
      <c r="N40" s="237">
        <v>15.5</v>
      </c>
      <c r="O40" s="238">
        <f t="shared" si="1"/>
        <v>86.5</v>
      </c>
      <c r="P40" s="239" t="s">
        <v>1275</v>
      </c>
    </row>
    <row r="41" spans="1:16" ht="20.100000000000001" customHeight="1">
      <c r="A41" s="233">
        <v>40</v>
      </c>
      <c r="B41" s="237" t="s">
        <v>359</v>
      </c>
      <c r="C41" s="237"/>
      <c r="D41" s="237" t="s">
        <v>168</v>
      </c>
      <c r="E41" s="237" t="s">
        <v>79</v>
      </c>
      <c r="F41" s="237"/>
      <c r="G41" s="237" t="s">
        <v>26</v>
      </c>
      <c r="H41" s="237" t="s">
        <v>118</v>
      </c>
      <c r="I41" s="237" t="s">
        <v>96</v>
      </c>
      <c r="J41" s="237" t="s">
        <v>112</v>
      </c>
      <c r="K41" s="238">
        <v>15</v>
      </c>
      <c r="L41" s="238">
        <v>30</v>
      </c>
      <c r="M41" s="238">
        <v>23.75</v>
      </c>
      <c r="N41" s="238">
        <v>16.5</v>
      </c>
      <c r="O41" s="238">
        <f t="shared" si="1"/>
        <v>85.25</v>
      </c>
      <c r="P41" s="238"/>
    </row>
    <row r="42" spans="1:16" ht="20.100000000000001" customHeight="1">
      <c r="A42" s="233">
        <v>41</v>
      </c>
      <c r="B42" s="237" t="s">
        <v>404</v>
      </c>
      <c r="C42" s="237"/>
      <c r="D42" s="237" t="s">
        <v>168</v>
      </c>
      <c r="E42" s="237" t="s">
        <v>79</v>
      </c>
      <c r="F42" s="237"/>
      <c r="G42" s="237" t="s">
        <v>26</v>
      </c>
      <c r="H42" s="237" t="s">
        <v>53</v>
      </c>
      <c r="I42" s="237" t="s">
        <v>110</v>
      </c>
      <c r="J42" s="237" t="s">
        <v>112</v>
      </c>
      <c r="K42" s="238">
        <v>15</v>
      </c>
      <c r="L42" s="238">
        <v>31</v>
      </c>
      <c r="M42" s="238">
        <v>24</v>
      </c>
      <c r="N42" s="238">
        <v>15</v>
      </c>
      <c r="O42" s="238">
        <f t="shared" si="1"/>
        <v>85</v>
      </c>
      <c r="P42" s="238"/>
    </row>
    <row r="43" spans="1:16" ht="20.100000000000001" customHeight="1">
      <c r="A43" s="233">
        <v>42</v>
      </c>
      <c r="B43" s="237" t="s">
        <v>432</v>
      </c>
      <c r="C43" s="237"/>
      <c r="D43" s="237" t="s">
        <v>168</v>
      </c>
      <c r="E43" s="237" t="s">
        <v>79</v>
      </c>
      <c r="F43" s="237"/>
      <c r="G43" s="237" t="s">
        <v>433</v>
      </c>
      <c r="H43" s="237" t="s">
        <v>59</v>
      </c>
      <c r="I43" s="237" t="s">
        <v>110</v>
      </c>
      <c r="J43" s="237" t="s">
        <v>125</v>
      </c>
      <c r="K43" s="238">
        <v>15</v>
      </c>
      <c r="L43" s="238">
        <v>31</v>
      </c>
      <c r="M43" s="238">
        <v>22.75</v>
      </c>
      <c r="N43" s="238">
        <v>15.5</v>
      </c>
      <c r="O43" s="238">
        <f t="shared" si="1"/>
        <v>84.25</v>
      </c>
      <c r="P43" s="238"/>
    </row>
    <row r="44" spans="1:16" ht="20.100000000000001" customHeight="1">
      <c r="A44" s="233">
        <v>43</v>
      </c>
      <c r="B44" s="237" t="s">
        <v>380</v>
      </c>
      <c r="C44" s="237"/>
      <c r="D44" s="237" t="s">
        <v>168</v>
      </c>
      <c r="E44" s="237" t="s">
        <v>103</v>
      </c>
      <c r="F44" s="237"/>
      <c r="G44" s="237" t="s">
        <v>26</v>
      </c>
      <c r="H44" s="237" t="s">
        <v>127</v>
      </c>
      <c r="I44" s="237" t="s">
        <v>81</v>
      </c>
      <c r="J44" s="237" t="s">
        <v>112</v>
      </c>
      <c r="K44" s="238">
        <v>15</v>
      </c>
      <c r="L44" s="238">
        <v>30</v>
      </c>
      <c r="M44" s="238">
        <v>23.75</v>
      </c>
      <c r="N44" s="238">
        <v>15.5</v>
      </c>
      <c r="O44" s="238">
        <f t="shared" si="1"/>
        <v>84.25</v>
      </c>
      <c r="P44" s="238"/>
    </row>
    <row r="45" spans="1:16" ht="20.100000000000001" customHeight="1">
      <c r="A45" s="233">
        <v>44</v>
      </c>
      <c r="B45" s="237" t="s">
        <v>410</v>
      </c>
      <c r="C45" s="237"/>
      <c r="D45" s="237" t="s">
        <v>168</v>
      </c>
      <c r="E45" s="237" t="s">
        <v>79</v>
      </c>
      <c r="F45" s="237"/>
      <c r="G45" s="237" t="s">
        <v>26</v>
      </c>
      <c r="H45" s="237" t="s">
        <v>132</v>
      </c>
      <c r="I45" s="237" t="s">
        <v>83</v>
      </c>
      <c r="J45" s="237" t="s">
        <v>112</v>
      </c>
      <c r="K45" s="238">
        <v>15</v>
      </c>
      <c r="L45" s="238">
        <v>30</v>
      </c>
      <c r="M45" s="238">
        <v>23.5</v>
      </c>
      <c r="N45" s="238">
        <v>15.5</v>
      </c>
      <c r="O45" s="238">
        <f t="shared" si="1"/>
        <v>84</v>
      </c>
      <c r="P45" s="238"/>
    </row>
    <row r="46" spans="1:16" ht="20.100000000000001" customHeight="1">
      <c r="A46" s="233">
        <v>45</v>
      </c>
      <c r="B46" s="237" t="s">
        <v>466</v>
      </c>
      <c r="C46" s="237"/>
      <c r="D46" s="237" t="s">
        <v>168</v>
      </c>
      <c r="E46" s="237" t="s">
        <v>79</v>
      </c>
      <c r="F46" s="237"/>
      <c r="G46" s="237" t="s">
        <v>26</v>
      </c>
      <c r="H46" s="237" t="s">
        <v>58</v>
      </c>
      <c r="I46" s="237" t="s">
        <v>83</v>
      </c>
      <c r="J46" s="237" t="s">
        <v>109</v>
      </c>
      <c r="K46" s="237">
        <v>15</v>
      </c>
      <c r="L46" s="237">
        <v>30</v>
      </c>
      <c r="M46" s="237">
        <v>23</v>
      </c>
      <c r="N46" s="237">
        <v>16</v>
      </c>
      <c r="O46" s="238">
        <f t="shared" si="1"/>
        <v>84</v>
      </c>
      <c r="P46" s="237"/>
    </row>
    <row r="47" spans="1:16" ht="20.100000000000001" customHeight="1">
      <c r="A47" s="233">
        <v>46</v>
      </c>
      <c r="B47" s="237" t="s">
        <v>490</v>
      </c>
      <c r="C47" s="237"/>
      <c r="D47" s="237" t="s">
        <v>168</v>
      </c>
      <c r="E47" s="237" t="s">
        <v>79</v>
      </c>
      <c r="F47" s="237"/>
      <c r="G47" s="237" t="s">
        <v>26</v>
      </c>
      <c r="H47" s="237" t="s">
        <v>299</v>
      </c>
      <c r="I47" s="237" t="s">
        <v>83</v>
      </c>
      <c r="J47" s="237" t="s">
        <v>109</v>
      </c>
      <c r="K47" s="237">
        <v>15</v>
      </c>
      <c r="L47" s="237">
        <v>32</v>
      </c>
      <c r="M47" s="237">
        <v>22</v>
      </c>
      <c r="N47" s="237">
        <v>15</v>
      </c>
      <c r="O47" s="238">
        <f t="shared" si="1"/>
        <v>84</v>
      </c>
      <c r="P47" s="237"/>
    </row>
    <row r="48" spans="1:16" ht="20.100000000000001" customHeight="1">
      <c r="A48" s="233">
        <v>47</v>
      </c>
      <c r="B48" s="237" t="s">
        <v>325</v>
      </c>
      <c r="C48" s="237"/>
      <c r="D48" s="237" t="s">
        <v>168</v>
      </c>
      <c r="E48" s="237" t="s">
        <v>76</v>
      </c>
      <c r="F48" s="237"/>
      <c r="G48" s="237" t="s">
        <v>26</v>
      </c>
      <c r="H48" s="237" t="s">
        <v>114</v>
      </c>
      <c r="I48" s="237" t="s">
        <v>149</v>
      </c>
      <c r="J48" s="237" t="s">
        <v>109</v>
      </c>
      <c r="K48" s="238">
        <v>15</v>
      </c>
      <c r="L48" s="238">
        <v>31</v>
      </c>
      <c r="M48" s="238">
        <v>23</v>
      </c>
      <c r="N48" s="238">
        <v>14.5</v>
      </c>
      <c r="O48" s="238">
        <f t="shared" si="1"/>
        <v>83.5</v>
      </c>
      <c r="P48" s="238"/>
    </row>
    <row r="49" spans="1:16" ht="20.100000000000001" customHeight="1">
      <c r="A49" s="233">
        <v>48</v>
      </c>
      <c r="B49" s="237" t="s">
        <v>470</v>
      </c>
      <c r="C49" s="237"/>
      <c r="D49" s="237" t="s">
        <v>168</v>
      </c>
      <c r="E49" s="237" t="s">
        <v>79</v>
      </c>
      <c r="F49" s="237"/>
      <c r="G49" s="237" t="s">
        <v>26</v>
      </c>
      <c r="H49" s="237" t="s">
        <v>40</v>
      </c>
      <c r="I49" s="237" t="s">
        <v>81</v>
      </c>
      <c r="J49" s="237" t="s">
        <v>112</v>
      </c>
      <c r="K49" s="237">
        <v>15</v>
      </c>
      <c r="L49" s="237">
        <v>30</v>
      </c>
      <c r="M49" s="237">
        <v>22.5</v>
      </c>
      <c r="N49" s="237">
        <v>16</v>
      </c>
      <c r="O49" s="238">
        <f t="shared" si="1"/>
        <v>83.5</v>
      </c>
      <c r="P49" s="237"/>
    </row>
    <row r="50" spans="1:16" ht="20.100000000000001" customHeight="1">
      <c r="A50" s="233">
        <v>49</v>
      </c>
      <c r="B50" s="237" t="s">
        <v>331</v>
      </c>
      <c r="C50" s="237"/>
      <c r="D50" s="237" t="s">
        <v>168</v>
      </c>
      <c r="E50" s="237" t="s">
        <v>79</v>
      </c>
      <c r="F50" s="237"/>
      <c r="G50" s="237" t="s">
        <v>26</v>
      </c>
      <c r="H50" s="237" t="s">
        <v>182</v>
      </c>
      <c r="I50" s="237" t="s">
        <v>81</v>
      </c>
      <c r="J50" s="237" t="s">
        <v>125</v>
      </c>
      <c r="K50" s="238">
        <v>15</v>
      </c>
      <c r="L50" s="238">
        <v>30</v>
      </c>
      <c r="M50" s="238">
        <v>23</v>
      </c>
      <c r="N50" s="238">
        <v>15.25</v>
      </c>
      <c r="O50" s="238">
        <f t="shared" si="1"/>
        <v>83.25</v>
      </c>
      <c r="P50" s="238"/>
    </row>
    <row r="51" spans="1:16" ht="20.100000000000001" customHeight="1">
      <c r="A51" s="233">
        <v>50</v>
      </c>
      <c r="B51" s="237" t="s">
        <v>360</v>
      </c>
      <c r="C51" s="237"/>
      <c r="D51" s="237" t="s">
        <v>168</v>
      </c>
      <c r="E51" s="237" t="s">
        <v>79</v>
      </c>
      <c r="F51" s="237"/>
      <c r="G51" s="237" t="s">
        <v>26</v>
      </c>
      <c r="H51" s="237" t="s">
        <v>69</v>
      </c>
      <c r="I51" s="237" t="s">
        <v>89</v>
      </c>
      <c r="J51" s="237" t="s">
        <v>112</v>
      </c>
      <c r="K51" s="238">
        <v>15</v>
      </c>
      <c r="L51" s="238">
        <v>29</v>
      </c>
      <c r="M51" s="238">
        <v>23.25</v>
      </c>
      <c r="N51" s="238">
        <v>16</v>
      </c>
      <c r="O51" s="238">
        <f t="shared" si="1"/>
        <v>83.25</v>
      </c>
      <c r="P51" s="238"/>
    </row>
    <row r="52" spans="1:16" ht="20.100000000000001" customHeight="1">
      <c r="A52" s="233">
        <v>51</v>
      </c>
      <c r="B52" s="237" t="s">
        <v>459</v>
      </c>
      <c r="C52" s="237"/>
      <c r="D52" s="237" t="s">
        <v>168</v>
      </c>
      <c r="E52" s="237" t="s">
        <v>79</v>
      </c>
      <c r="F52" s="237"/>
      <c r="G52" s="237" t="s">
        <v>26</v>
      </c>
      <c r="H52" s="237" t="s">
        <v>280</v>
      </c>
      <c r="I52" s="237" t="s">
        <v>101</v>
      </c>
      <c r="J52" s="237" t="s">
        <v>109</v>
      </c>
      <c r="K52" s="237">
        <v>15</v>
      </c>
      <c r="L52" s="237">
        <v>30</v>
      </c>
      <c r="M52" s="237">
        <v>23</v>
      </c>
      <c r="N52" s="237">
        <v>14.5</v>
      </c>
      <c r="O52" s="238">
        <f t="shared" si="1"/>
        <v>82.5</v>
      </c>
      <c r="P52" s="237"/>
    </row>
    <row r="53" spans="1:16" ht="20.100000000000001" customHeight="1">
      <c r="A53" s="233">
        <v>52</v>
      </c>
      <c r="B53" s="237" t="s">
        <v>322</v>
      </c>
      <c r="C53" s="237"/>
      <c r="D53" s="237" t="s">
        <v>168</v>
      </c>
      <c r="E53" s="237" t="s">
        <v>79</v>
      </c>
      <c r="F53" s="237"/>
      <c r="G53" s="237" t="s">
        <v>26</v>
      </c>
      <c r="H53" s="237" t="s">
        <v>113</v>
      </c>
      <c r="I53" s="237" t="s">
        <v>101</v>
      </c>
      <c r="J53" s="237" t="s">
        <v>112</v>
      </c>
      <c r="K53" s="14">
        <v>15</v>
      </c>
      <c r="L53" s="14">
        <v>28</v>
      </c>
      <c r="M53" s="14">
        <v>23.5</v>
      </c>
      <c r="N53" s="14">
        <v>15.5</v>
      </c>
      <c r="O53" s="238">
        <f t="shared" si="1"/>
        <v>82</v>
      </c>
      <c r="P53" s="238"/>
    </row>
    <row r="54" spans="1:16" ht="20.100000000000001" customHeight="1">
      <c r="A54" s="233">
        <v>53</v>
      </c>
      <c r="B54" s="237" t="s">
        <v>315</v>
      </c>
      <c r="C54" s="237"/>
      <c r="D54" s="237" t="s">
        <v>168</v>
      </c>
      <c r="E54" s="237" t="s">
        <v>79</v>
      </c>
      <c r="F54" s="237"/>
      <c r="G54" s="237" t="s">
        <v>26</v>
      </c>
      <c r="H54" s="237" t="s">
        <v>74</v>
      </c>
      <c r="I54" s="237" t="s">
        <v>81</v>
      </c>
      <c r="J54" s="237" t="s">
        <v>109</v>
      </c>
      <c r="K54" s="238">
        <v>15</v>
      </c>
      <c r="L54" s="238">
        <v>30</v>
      </c>
      <c r="M54" s="238">
        <v>21.5</v>
      </c>
      <c r="N54" s="238">
        <v>15</v>
      </c>
      <c r="O54" s="238">
        <f t="shared" si="1"/>
        <v>81.5</v>
      </c>
      <c r="P54" s="238"/>
    </row>
    <row r="55" spans="1:16" ht="20.100000000000001" customHeight="1">
      <c r="A55" s="233">
        <v>54</v>
      </c>
      <c r="B55" s="237" t="s">
        <v>324</v>
      </c>
      <c r="C55" s="237"/>
      <c r="D55" s="237" t="s">
        <v>168</v>
      </c>
      <c r="E55" s="237" t="s">
        <v>76</v>
      </c>
      <c r="F55" s="237"/>
      <c r="G55" s="237" t="s">
        <v>26</v>
      </c>
      <c r="H55" s="237" t="s">
        <v>114</v>
      </c>
      <c r="I55" s="237" t="s">
        <v>81</v>
      </c>
      <c r="J55" s="237" t="s">
        <v>109</v>
      </c>
      <c r="K55" s="238">
        <v>15</v>
      </c>
      <c r="L55" s="238">
        <v>30</v>
      </c>
      <c r="M55" s="238">
        <v>21.75</v>
      </c>
      <c r="N55" s="238">
        <v>14.5</v>
      </c>
      <c r="O55" s="238">
        <f t="shared" si="1"/>
        <v>81.25</v>
      </c>
      <c r="P55" s="238"/>
    </row>
    <row r="56" spans="1:16" ht="20.100000000000001" customHeight="1">
      <c r="A56" s="233">
        <v>55</v>
      </c>
      <c r="B56" s="237" t="s">
        <v>323</v>
      </c>
      <c r="C56" s="237"/>
      <c r="D56" s="237" t="s">
        <v>168</v>
      </c>
      <c r="E56" s="237" t="s">
        <v>79</v>
      </c>
      <c r="F56" s="237"/>
      <c r="G56" s="237" t="s">
        <v>26</v>
      </c>
      <c r="H56" s="237" t="s">
        <v>113</v>
      </c>
      <c r="I56" s="237" t="s">
        <v>101</v>
      </c>
      <c r="J56" s="237" t="s">
        <v>112</v>
      </c>
      <c r="K56" s="238">
        <v>15</v>
      </c>
      <c r="L56" s="238">
        <v>30</v>
      </c>
      <c r="M56" s="238">
        <v>21.25</v>
      </c>
      <c r="N56" s="238">
        <v>14.75</v>
      </c>
      <c r="O56" s="238">
        <f t="shared" si="1"/>
        <v>81</v>
      </c>
      <c r="P56" s="238"/>
    </row>
    <row r="57" spans="1:16" ht="20.100000000000001" customHeight="1">
      <c r="A57" s="233">
        <v>56</v>
      </c>
      <c r="B57" s="237" t="s">
        <v>460</v>
      </c>
      <c r="C57" s="237"/>
      <c r="D57" s="237" t="s">
        <v>168</v>
      </c>
      <c r="E57" s="237" t="s">
        <v>79</v>
      </c>
      <c r="F57" s="237"/>
      <c r="G57" s="237" t="s">
        <v>26</v>
      </c>
      <c r="H57" s="237" t="s">
        <v>280</v>
      </c>
      <c r="I57" s="237" t="s">
        <v>101</v>
      </c>
      <c r="J57" s="237" t="s">
        <v>109</v>
      </c>
      <c r="K57" s="237">
        <v>15</v>
      </c>
      <c r="L57" s="237">
        <v>30</v>
      </c>
      <c r="M57" s="237">
        <v>21.75</v>
      </c>
      <c r="N57" s="237">
        <v>14.25</v>
      </c>
      <c r="O57" s="238">
        <f t="shared" si="1"/>
        <v>81</v>
      </c>
      <c r="P57" s="237"/>
    </row>
    <row r="58" spans="1:16" ht="20.100000000000001" customHeight="1">
      <c r="A58" s="233">
        <v>57</v>
      </c>
      <c r="B58" s="237" t="s">
        <v>480</v>
      </c>
      <c r="C58" s="237"/>
      <c r="D58" s="237" t="s">
        <v>168</v>
      </c>
      <c r="E58" s="237" t="s">
        <v>79</v>
      </c>
      <c r="F58" s="237"/>
      <c r="G58" s="237" t="s">
        <v>26</v>
      </c>
      <c r="H58" s="237" t="s">
        <v>106</v>
      </c>
      <c r="I58" s="237" t="s">
        <v>101</v>
      </c>
      <c r="J58" s="237" t="s">
        <v>112</v>
      </c>
      <c r="K58" s="237">
        <v>15</v>
      </c>
      <c r="L58" s="237">
        <v>28</v>
      </c>
      <c r="M58" s="237">
        <v>22.5</v>
      </c>
      <c r="N58" s="237">
        <v>15</v>
      </c>
      <c r="O58" s="238">
        <f t="shared" si="1"/>
        <v>80.5</v>
      </c>
      <c r="P58" s="237"/>
    </row>
    <row r="59" spans="1:16" ht="20.100000000000001" customHeight="1">
      <c r="A59" s="233">
        <v>58</v>
      </c>
      <c r="B59" s="237" t="s">
        <v>383</v>
      </c>
      <c r="C59" s="237"/>
      <c r="D59" s="237" t="s">
        <v>168</v>
      </c>
      <c r="E59" s="237" t="s">
        <v>79</v>
      </c>
      <c r="F59" s="237"/>
      <c r="G59" s="237" t="s">
        <v>26</v>
      </c>
      <c r="H59" s="237" t="s">
        <v>65</v>
      </c>
      <c r="I59" s="237" t="s">
        <v>81</v>
      </c>
      <c r="J59" s="237" t="s">
        <v>112</v>
      </c>
      <c r="K59" s="238">
        <v>15</v>
      </c>
      <c r="L59" s="238">
        <v>28</v>
      </c>
      <c r="M59" s="238">
        <v>22.75</v>
      </c>
      <c r="N59" s="238">
        <v>14.5</v>
      </c>
      <c r="O59" s="238">
        <f t="shared" si="1"/>
        <v>80.25</v>
      </c>
      <c r="P59" s="238"/>
    </row>
    <row r="60" spans="1:16" ht="20.100000000000001" customHeight="1">
      <c r="A60" s="233">
        <v>59</v>
      </c>
      <c r="B60" s="237" t="s">
        <v>415</v>
      </c>
      <c r="C60" s="237"/>
      <c r="D60" s="237" t="s">
        <v>168</v>
      </c>
      <c r="E60" s="237" t="s">
        <v>79</v>
      </c>
      <c r="F60" s="237"/>
      <c r="G60" s="237" t="s">
        <v>26</v>
      </c>
      <c r="H60" s="237" t="s">
        <v>61</v>
      </c>
      <c r="I60" s="237" t="s">
        <v>101</v>
      </c>
      <c r="J60" s="237" t="s">
        <v>112</v>
      </c>
      <c r="K60" s="238">
        <v>15</v>
      </c>
      <c r="L60" s="238">
        <v>29</v>
      </c>
      <c r="M60" s="238">
        <v>22</v>
      </c>
      <c r="N60" s="238">
        <v>14</v>
      </c>
      <c r="O60" s="238">
        <f t="shared" si="1"/>
        <v>80</v>
      </c>
      <c r="P60" s="238"/>
    </row>
    <row r="61" spans="1:16" ht="20.100000000000001" customHeight="1">
      <c r="A61" s="233">
        <v>60</v>
      </c>
      <c r="B61" s="237" t="s">
        <v>350</v>
      </c>
      <c r="C61" s="237"/>
      <c r="D61" s="237" t="s">
        <v>168</v>
      </c>
      <c r="E61" s="237" t="s">
        <v>79</v>
      </c>
      <c r="F61" s="237"/>
      <c r="G61" s="237" t="s">
        <v>26</v>
      </c>
      <c r="H61" s="237" t="s">
        <v>196</v>
      </c>
      <c r="I61" s="237" t="s">
        <v>83</v>
      </c>
      <c r="J61" s="237" t="s">
        <v>109</v>
      </c>
      <c r="K61" s="238">
        <v>15</v>
      </c>
      <c r="L61" s="238">
        <v>29</v>
      </c>
      <c r="M61" s="238">
        <v>21.5</v>
      </c>
      <c r="N61" s="238">
        <v>14.25</v>
      </c>
      <c r="O61" s="238">
        <f t="shared" si="1"/>
        <v>79.75</v>
      </c>
      <c r="P61" s="238"/>
    </row>
    <row r="62" spans="1:16" ht="20.100000000000001" customHeight="1">
      <c r="A62" s="233">
        <v>61</v>
      </c>
      <c r="B62" s="237" t="s">
        <v>314</v>
      </c>
      <c r="C62" s="237"/>
      <c r="D62" s="237" t="s">
        <v>168</v>
      </c>
      <c r="E62" s="237" t="s">
        <v>79</v>
      </c>
      <c r="F62" s="237"/>
      <c r="G62" s="237" t="s">
        <v>26</v>
      </c>
      <c r="H62" s="237" t="s">
        <v>74</v>
      </c>
      <c r="I62" s="237" t="s">
        <v>81</v>
      </c>
      <c r="J62" s="237" t="s">
        <v>109</v>
      </c>
      <c r="K62" s="238">
        <v>15</v>
      </c>
      <c r="L62" s="238">
        <v>27</v>
      </c>
      <c r="M62" s="238">
        <v>22.5</v>
      </c>
      <c r="N62" s="238">
        <v>15</v>
      </c>
      <c r="O62" s="238">
        <f t="shared" si="1"/>
        <v>79.5</v>
      </c>
      <c r="P62" s="238"/>
    </row>
    <row r="63" spans="1:16" ht="20.100000000000001" customHeight="1">
      <c r="A63" s="233">
        <v>62</v>
      </c>
      <c r="B63" s="237" t="s">
        <v>357</v>
      </c>
      <c r="C63" s="237"/>
      <c r="D63" s="237" t="s">
        <v>168</v>
      </c>
      <c r="E63" s="237" t="s">
        <v>79</v>
      </c>
      <c r="F63" s="237"/>
      <c r="G63" s="237" t="s">
        <v>26</v>
      </c>
      <c r="H63" s="237" t="s">
        <v>72</v>
      </c>
      <c r="I63" s="237"/>
      <c r="J63" s="237" t="s">
        <v>109</v>
      </c>
      <c r="K63" s="238">
        <v>15</v>
      </c>
      <c r="L63" s="238">
        <v>29</v>
      </c>
      <c r="M63" s="238">
        <v>21</v>
      </c>
      <c r="N63" s="238">
        <v>13.75</v>
      </c>
      <c r="O63" s="238">
        <f t="shared" si="1"/>
        <v>78.75</v>
      </c>
      <c r="P63" s="238"/>
    </row>
    <row r="64" spans="1:16" ht="20.100000000000001" customHeight="1">
      <c r="A64" s="233">
        <v>63</v>
      </c>
      <c r="B64" s="237" t="s">
        <v>361</v>
      </c>
      <c r="C64" s="237"/>
      <c r="D64" s="237" t="s">
        <v>168</v>
      </c>
      <c r="E64" s="237" t="s">
        <v>79</v>
      </c>
      <c r="F64" s="237"/>
      <c r="G64" s="237" t="s">
        <v>26</v>
      </c>
      <c r="H64" s="237" t="s">
        <v>69</v>
      </c>
      <c r="I64" s="237" t="s">
        <v>89</v>
      </c>
      <c r="J64" s="237" t="s">
        <v>112</v>
      </c>
      <c r="K64" s="238">
        <v>15</v>
      </c>
      <c r="L64" s="238">
        <v>27</v>
      </c>
      <c r="M64" s="238">
        <v>22</v>
      </c>
      <c r="N64" s="238">
        <v>14.75</v>
      </c>
      <c r="O64" s="238">
        <f t="shared" si="1"/>
        <v>78.75</v>
      </c>
      <c r="P64" s="238"/>
    </row>
    <row r="65" spans="1:16" ht="20.100000000000001" customHeight="1">
      <c r="A65" s="233">
        <v>64</v>
      </c>
      <c r="B65" s="237" t="s">
        <v>473</v>
      </c>
      <c r="C65" s="237"/>
      <c r="D65" s="237" t="s">
        <v>168</v>
      </c>
      <c r="E65" s="237" t="s">
        <v>79</v>
      </c>
      <c r="F65" s="237"/>
      <c r="G65" s="237" t="s">
        <v>26</v>
      </c>
      <c r="H65" s="237" t="s">
        <v>139</v>
      </c>
      <c r="I65" s="237" t="s">
        <v>108</v>
      </c>
      <c r="J65" s="237" t="s">
        <v>109</v>
      </c>
      <c r="K65" s="237">
        <v>15</v>
      </c>
      <c r="L65" s="237">
        <v>29</v>
      </c>
      <c r="M65" s="237">
        <v>20.75</v>
      </c>
      <c r="N65" s="237">
        <v>14</v>
      </c>
      <c r="O65" s="238">
        <f t="shared" si="1"/>
        <v>78.75</v>
      </c>
      <c r="P65" s="237"/>
    </row>
    <row r="66" spans="1:16" ht="20.100000000000001" customHeight="1">
      <c r="A66" s="233">
        <v>65</v>
      </c>
      <c r="B66" s="237" t="s">
        <v>375</v>
      </c>
      <c r="C66" s="237"/>
      <c r="D66" s="237" t="s">
        <v>168</v>
      </c>
      <c r="E66" s="237" t="s">
        <v>79</v>
      </c>
      <c r="F66" s="237"/>
      <c r="G66" s="237" t="s">
        <v>26</v>
      </c>
      <c r="H66" s="237" t="s">
        <v>124</v>
      </c>
      <c r="I66" s="237" t="s">
        <v>83</v>
      </c>
      <c r="J66" s="237" t="s">
        <v>112</v>
      </c>
      <c r="K66" s="238">
        <v>15</v>
      </c>
      <c r="L66" s="238">
        <v>29</v>
      </c>
      <c r="M66" s="238">
        <v>21.5</v>
      </c>
      <c r="N66" s="238">
        <v>13</v>
      </c>
      <c r="O66" s="238">
        <f t="shared" ref="O66:O97" si="2">SUM(K66:N66)</f>
        <v>78.5</v>
      </c>
      <c r="P66" s="238"/>
    </row>
    <row r="67" spans="1:16" ht="20.100000000000001" customHeight="1">
      <c r="A67" s="233">
        <v>66</v>
      </c>
      <c r="B67" s="237" t="s">
        <v>449</v>
      </c>
      <c r="C67" s="237"/>
      <c r="D67" s="237" t="s">
        <v>168</v>
      </c>
      <c r="E67" s="237" t="s">
        <v>79</v>
      </c>
      <c r="F67" s="237"/>
      <c r="G67" s="237" t="s">
        <v>26</v>
      </c>
      <c r="H67" s="237" t="s">
        <v>100</v>
      </c>
      <c r="I67" s="237" t="s">
        <v>101</v>
      </c>
      <c r="J67" s="237" t="s">
        <v>109</v>
      </c>
      <c r="K67" s="238">
        <v>15</v>
      </c>
      <c r="L67" s="238">
        <v>27</v>
      </c>
      <c r="M67" s="238">
        <v>22</v>
      </c>
      <c r="N67" s="238">
        <v>14.5</v>
      </c>
      <c r="O67" s="238">
        <f t="shared" si="2"/>
        <v>78.5</v>
      </c>
      <c r="P67" s="238"/>
    </row>
    <row r="68" spans="1:16" ht="20.100000000000001" customHeight="1">
      <c r="A68" s="233">
        <v>67</v>
      </c>
      <c r="B68" s="237" t="s">
        <v>346</v>
      </c>
      <c r="C68" s="237"/>
      <c r="D68" s="237" t="s">
        <v>168</v>
      </c>
      <c r="E68" s="237" t="s">
        <v>79</v>
      </c>
      <c r="F68" s="237"/>
      <c r="G68" s="237" t="s">
        <v>26</v>
      </c>
      <c r="H68" s="237" t="s">
        <v>56</v>
      </c>
      <c r="I68" s="237" t="s">
        <v>347</v>
      </c>
      <c r="J68" s="237" t="s">
        <v>112</v>
      </c>
      <c r="K68" s="238">
        <v>15</v>
      </c>
      <c r="L68" s="238">
        <v>27</v>
      </c>
      <c r="M68" s="238">
        <v>21.25</v>
      </c>
      <c r="N68" s="238">
        <v>15</v>
      </c>
      <c r="O68" s="238">
        <f t="shared" si="2"/>
        <v>78.25</v>
      </c>
      <c r="P68" s="238"/>
    </row>
    <row r="69" spans="1:16" ht="20.100000000000001" customHeight="1">
      <c r="A69" s="233">
        <v>68</v>
      </c>
      <c r="B69" s="237" t="s">
        <v>405</v>
      </c>
      <c r="C69" s="237"/>
      <c r="D69" s="237" t="s">
        <v>168</v>
      </c>
      <c r="E69" s="237" t="s">
        <v>79</v>
      </c>
      <c r="F69" s="237"/>
      <c r="G69" s="237" t="s">
        <v>26</v>
      </c>
      <c r="H69" s="237" t="s">
        <v>53</v>
      </c>
      <c r="I69" s="237" t="s">
        <v>81</v>
      </c>
      <c r="J69" s="237" t="s">
        <v>112</v>
      </c>
      <c r="K69" s="238">
        <v>15</v>
      </c>
      <c r="L69" s="238">
        <v>28</v>
      </c>
      <c r="M69" s="238">
        <v>21.5</v>
      </c>
      <c r="N69" s="238">
        <v>13.5</v>
      </c>
      <c r="O69" s="238">
        <f t="shared" si="2"/>
        <v>78</v>
      </c>
      <c r="P69" s="238"/>
    </row>
    <row r="70" spans="1:16" ht="20.100000000000001" customHeight="1">
      <c r="A70" s="233">
        <v>69</v>
      </c>
      <c r="B70" s="237" t="s">
        <v>413</v>
      </c>
      <c r="C70" s="237"/>
      <c r="D70" s="237" t="s">
        <v>168</v>
      </c>
      <c r="E70" s="237" t="s">
        <v>79</v>
      </c>
      <c r="F70" s="237"/>
      <c r="G70" s="237" t="s">
        <v>26</v>
      </c>
      <c r="H70" s="237" t="s">
        <v>61</v>
      </c>
      <c r="I70" s="237" t="s">
        <v>83</v>
      </c>
      <c r="J70" s="237" t="s">
        <v>112</v>
      </c>
      <c r="K70" s="238">
        <v>15</v>
      </c>
      <c r="L70" s="238">
        <v>27</v>
      </c>
      <c r="M70" s="238">
        <v>22</v>
      </c>
      <c r="N70" s="238">
        <v>13.75</v>
      </c>
      <c r="O70" s="238">
        <f t="shared" si="2"/>
        <v>77.75</v>
      </c>
      <c r="P70" s="238"/>
    </row>
    <row r="71" spans="1:16" ht="20.100000000000001" customHeight="1">
      <c r="A71" s="233">
        <v>70</v>
      </c>
      <c r="B71" s="237" t="s">
        <v>467</v>
      </c>
      <c r="C71" s="237"/>
      <c r="D71" s="237" t="s">
        <v>168</v>
      </c>
      <c r="E71" s="237" t="s">
        <v>79</v>
      </c>
      <c r="F71" s="237"/>
      <c r="G71" s="237" t="s">
        <v>26</v>
      </c>
      <c r="H71" s="237" t="s">
        <v>58</v>
      </c>
      <c r="I71" s="237" t="s">
        <v>83</v>
      </c>
      <c r="J71" s="237" t="s">
        <v>109</v>
      </c>
      <c r="K71" s="237">
        <v>15</v>
      </c>
      <c r="L71" s="237">
        <v>28</v>
      </c>
      <c r="M71" s="237">
        <v>21</v>
      </c>
      <c r="N71" s="237">
        <v>13.5</v>
      </c>
      <c r="O71" s="238">
        <f t="shared" si="2"/>
        <v>77.5</v>
      </c>
      <c r="P71" s="237"/>
    </row>
    <row r="72" spans="1:16" ht="20.100000000000001" customHeight="1">
      <c r="A72" s="233">
        <v>71</v>
      </c>
      <c r="B72" s="237" t="s">
        <v>307</v>
      </c>
      <c r="C72" s="237"/>
      <c r="D72" s="237" t="s">
        <v>168</v>
      </c>
      <c r="E72" s="237" t="s">
        <v>79</v>
      </c>
      <c r="F72" s="237"/>
      <c r="G72" s="237" t="s">
        <v>26</v>
      </c>
      <c r="H72" s="237" t="s">
        <v>80</v>
      </c>
      <c r="I72" s="237" t="s">
        <v>110</v>
      </c>
      <c r="J72" s="237" t="s">
        <v>116</v>
      </c>
      <c r="K72" s="238">
        <v>15</v>
      </c>
      <c r="L72" s="238">
        <v>26</v>
      </c>
      <c r="M72" s="238">
        <v>21.5</v>
      </c>
      <c r="N72" s="238">
        <v>14.5</v>
      </c>
      <c r="O72" s="238">
        <f t="shared" si="2"/>
        <v>77</v>
      </c>
      <c r="P72" s="238"/>
    </row>
    <row r="73" spans="1:16" ht="20.100000000000001" customHeight="1">
      <c r="A73" s="233">
        <v>72</v>
      </c>
      <c r="B73" s="237" t="s">
        <v>332</v>
      </c>
      <c r="C73" s="237"/>
      <c r="D73" s="237" t="s">
        <v>168</v>
      </c>
      <c r="E73" s="237" t="s">
        <v>79</v>
      </c>
      <c r="F73" s="237"/>
      <c r="G73" s="237" t="s">
        <v>26</v>
      </c>
      <c r="H73" s="237" t="s">
        <v>87</v>
      </c>
      <c r="I73" s="237" t="s">
        <v>81</v>
      </c>
      <c r="J73" s="237" t="s">
        <v>109</v>
      </c>
      <c r="K73" s="238">
        <v>15</v>
      </c>
      <c r="L73" s="238">
        <v>28</v>
      </c>
      <c r="M73" s="238">
        <v>20.5</v>
      </c>
      <c r="N73" s="238">
        <v>13.25</v>
      </c>
      <c r="O73" s="238">
        <f t="shared" si="2"/>
        <v>76.75</v>
      </c>
      <c r="P73" s="238"/>
    </row>
    <row r="74" spans="1:16" ht="20.100000000000001" customHeight="1">
      <c r="A74" s="233">
        <v>73</v>
      </c>
      <c r="B74" s="237" t="s">
        <v>382</v>
      </c>
      <c r="C74" s="237"/>
      <c r="D74" s="237" t="s">
        <v>168</v>
      </c>
      <c r="E74" s="237" t="s">
        <v>79</v>
      </c>
      <c r="F74" s="237"/>
      <c r="G74" s="237" t="s">
        <v>26</v>
      </c>
      <c r="H74" s="237" t="s">
        <v>65</v>
      </c>
      <c r="I74" s="237" t="s">
        <v>81</v>
      </c>
      <c r="J74" s="237" t="s">
        <v>112</v>
      </c>
      <c r="K74" s="238">
        <v>15</v>
      </c>
      <c r="L74" s="238">
        <v>27</v>
      </c>
      <c r="M74" s="238">
        <v>21</v>
      </c>
      <c r="N74" s="238">
        <v>13.5</v>
      </c>
      <c r="O74" s="238">
        <f t="shared" si="2"/>
        <v>76.5</v>
      </c>
      <c r="P74" s="238"/>
    </row>
    <row r="75" spans="1:16" ht="20.100000000000001" customHeight="1">
      <c r="A75" s="233">
        <v>74</v>
      </c>
      <c r="B75" s="237" t="s">
        <v>444</v>
      </c>
      <c r="C75" s="237"/>
      <c r="D75" s="237" t="s">
        <v>168</v>
      </c>
      <c r="E75" s="237" t="s">
        <v>79</v>
      </c>
      <c r="F75" s="237"/>
      <c r="G75" s="237" t="s">
        <v>26</v>
      </c>
      <c r="H75" s="237" t="s">
        <v>27</v>
      </c>
      <c r="I75" s="237" t="s">
        <v>83</v>
      </c>
      <c r="J75" s="237" t="s">
        <v>112</v>
      </c>
      <c r="K75" s="238">
        <v>15</v>
      </c>
      <c r="L75" s="238">
        <v>27</v>
      </c>
      <c r="M75" s="238">
        <v>20.5</v>
      </c>
      <c r="N75" s="238">
        <v>13.75</v>
      </c>
      <c r="O75" s="238">
        <f t="shared" si="2"/>
        <v>76.25</v>
      </c>
      <c r="P75" s="238"/>
    </row>
    <row r="76" spans="1:16" ht="20.100000000000001" customHeight="1">
      <c r="A76" s="233">
        <v>75</v>
      </c>
      <c r="B76" s="237" t="s">
        <v>378</v>
      </c>
      <c r="C76" s="237"/>
      <c r="D76" s="237" t="s">
        <v>190</v>
      </c>
      <c r="E76" s="237" t="s">
        <v>103</v>
      </c>
      <c r="F76" s="237"/>
      <c r="G76" s="237" t="s">
        <v>26</v>
      </c>
      <c r="H76" s="237" t="s">
        <v>66</v>
      </c>
      <c r="I76" s="237" t="s">
        <v>81</v>
      </c>
      <c r="J76" s="237" t="s">
        <v>125</v>
      </c>
      <c r="K76" s="238">
        <v>15</v>
      </c>
      <c r="L76" s="238">
        <v>26</v>
      </c>
      <c r="M76" s="238">
        <v>21</v>
      </c>
      <c r="N76" s="238">
        <v>14</v>
      </c>
      <c r="O76" s="238">
        <f t="shared" si="2"/>
        <v>76</v>
      </c>
      <c r="P76" s="238"/>
    </row>
    <row r="77" spans="1:16" ht="20.100000000000001" customHeight="1">
      <c r="A77" s="233">
        <v>76</v>
      </c>
      <c r="B77" s="237" t="s">
        <v>397</v>
      </c>
      <c r="C77" s="237"/>
      <c r="D77" s="237" t="s">
        <v>168</v>
      </c>
      <c r="E77" s="237" t="s">
        <v>79</v>
      </c>
      <c r="F77" s="237"/>
      <c r="G77" s="237" t="s">
        <v>26</v>
      </c>
      <c r="H77" s="237" t="s">
        <v>64</v>
      </c>
      <c r="I77" s="237" t="s">
        <v>149</v>
      </c>
      <c r="J77" s="237" t="s">
        <v>112</v>
      </c>
      <c r="K77" s="14">
        <v>15</v>
      </c>
      <c r="L77" s="14">
        <v>27</v>
      </c>
      <c r="M77" s="14">
        <v>20.75</v>
      </c>
      <c r="N77" s="14">
        <v>13</v>
      </c>
      <c r="O77" s="238">
        <f t="shared" si="2"/>
        <v>75.75</v>
      </c>
      <c r="P77" s="14"/>
    </row>
    <row r="78" spans="1:16" ht="20.100000000000001" customHeight="1">
      <c r="A78" s="233">
        <v>77</v>
      </c>
      <c r="B78" s="237" t="s">
        <v>428</v>
      </c>
      <c r="C78" s="237"/>
      <c r="D78" s="237" t="s">
        <v>168</v>
      </c>
      <c r="E78" s="237" t="s">
        <v>79</v>
      </c>
      <c r="F78" s="237"/>
      <c r="G78" s="237" t="s">
        <v>26</v>
      </c>
      <c r="H78" s="237" t="s">
        <v>60</v>
      </c>
      <c r="I78" s="237" t="s">
        <v>83</v>
      </c>
      <c r="J78" s="237" t="s">
        <v>112</v>
      </c>
      <c r="K78" s="238">
        <v>15</v>
      </c>
      <c r="L78" s="238">
        <v>26</v>
      </c>
      <c r="M78" s="238">
        <v>20.5</v>
      </c>
      <c r="N78" s="238">
        <v>13.75</v>
      </c>
      <c r="O78" s="238">
        <f t="shared" si="2"/>
        <v>75.25</v>
      </c>
      <c r="P78" s="238"/>
    </row>
    <row r="79" spans="1:16" ht="20.100000000000001" customHeight="1">
      <c r="A79" s="233">
        <v>78</v>
      </c>
      <c r="B79" s="237" t="s">
        <v>303</v>
      </c>
      <c r="C79" s="237"/>
      <c r="D79" s="237" t="s">
        <v>168</v>
      </c>
      <c r="E79" s="237" t="s">
        <v>79</v>
      </c>
      <c r="F79" s="237"/>
      <c r="G79" s="237" t="s">
        <v>26</v>
      </c>
      <c r="H79" s="237" t="s">
        <v>73</v>
      </c>
      <c r="I79" s="237" t="s">
        <v>101</v>
      </c>
      <c r="J79" s="237" t="s">
        <v>112</v>
      </c>
      <c r="K79" s="238">
        <v>13</v>
      </c>
      <c r="L79" s="238">
        <v>27</v>
      </c>
      <c r="M79" s="238">
        <v>21.25</v>
      </c>
      <c r="N79" s="238">
        <v>13.75</v>
      </c>
      <c r="O79" s="238">
        <f t="shared" si="2"/>
        <v>75</v>
      </c>
      <c r="P79" s="238"/>
    </row>
    <row r="80" spans="1:16" ht="20.100000000000001" customHeight="1">
      <c r="A80" s="233">
        <v>79</v>
      </c>
      <c r="B80" s="237" t="s">
        <v>391</v>
      </c>
      <c r="C80" s="237"/>
      <c r="D80" s="237" t="s">
        <v>168</v>
      </c>
      <c r="E80" s="237" t="s">
        <v>79</v>
      </c>
      <c r="F80" s="237"/>
      <c r="G80" s="237" t="s">
        <v>26</v>
      </c>
      <c r="H80" s="237" t="s">
        <v>30</v>
      </c>
      <c r="I80" s="237" t="s">
        <v>101</v>
      </c>
      <c r="J80" s="237" t="s">
        <v>109</v>
      </c>
      <c r="K80" s="238">
        <v>15</v>
      </c>
      <c r="L80" s="238">
        <v>25</v>
      </c>
      <c r="M80" s="238">
        <v>21.5</v>
      </c>
      <c r="N80" s="238">
        <v>13.5</v>
      </c>
      <c r="O80" s="238">
        <f t="shared" si="2"/>
        <v>75</v>
      </c>
      <c r="P80" s="238"/>
    </row>
    <row r="81" spans="1:16" ht="20.100000000000001" customHeight="1">
      <c r="A81" s="233">
        <v>80</v>
      </c>
      <c r="B81" s="237" t="s">
        <v>399</v>
      </c>
      <c r="C81" s="237"/>
      <c r="D81" s="237" t="s">
        <v>168</v>
      </c>
      <c r="E81" s="237" t="s">
        <v>79</v>
      </c>
      <c r="F81" s="237"/>
      <c r="G81" s="237" t="s">
        <v>26</v>
      </c>
      <c r="H81" s="237" t="s">
        <v>64</v>
      </c>
      <c r="I81" s="237" t="s">
        <v>96</v>
      </c>
      <c r="J81" s="237" t="s">
        <v>112</v>
      </c>
      <c r="K81" s="238">
        <v>15</v>
      </c>
      <c r="L81" s="238">
        <v>25</v>
      </c>
      <c r="M81" s="238">
        <v>20.75</v>
      </c>
      <c r="N81" s="238">
        <v>13.75</v>
      </c>
      <c r="O81" s="238">
        <f t="shared" si="2"/>
        <v>74.5</v>
      </c>
      <c r="P81" s="238"/>
    </row>
    <row r="82" spans="1:16" ht="20.100000000000001" customHeight="1">
      <c r="A82" s="233">
        <v>81</v>
      </c>
      <c r="B82" s="237" t="s">
        <v>456</v>
      </c>
      <c r="C82" s="237"/>
      <c r="D82" s="237" t="s">
        <v>168</v>
      </c>
      <c r="E82" s="237" t="s">
        <v>79</v>
      </c>
      <c r="F82" s="237"/>
      <c r="G82" s="237" t="s">
        <v>26</v>
      </c>
      <c r="H82" s="237" t="s">
        <v>159</v>
      </c>
      <c r="I82" s="237" t="s">
        <v>81</v>
      </c>
      <c r="J82" s="237" t="s">
        <v>109</v>
      </c>
      <c r="K82" s="238">
        <v>15</v>
      </c>
      <c r="L82" s="238">
        <v>25</v>
      </c>
      <c r="M82" s="238">
        <v>21</v>
      </c>
      <c r="N82" s="238">
        <v>13.5</v>
      </c>
      <c r="O82" s="238">
        <f t="shared" si="2"/>
        <v>74.5</v>
      </c>
      <c r="P82" s="238"/>
    </row>
    <row r="83" spans="1:16" ht="20.100000000000001" customHeight="1">
      <c r="A83" s="233">
        <v>82</v>
      </c>
      <c r="B83" s="237" t="s">
        <v>351</v>
      </c>
      <c r="C83" s="237"/>
      <c r="D83" s="237" t="s">
        <v>168</v>
      </c>
      <c r="E83" s="237" t="s">
        <v>79</v>
      </c>
      <c r="F83" s="237"/>
      <c r="G83" s="237" t="s">
        <v>26</v>
      </c>
      <c r="H83" s="237" t="s">
        <v>196</v>
      </c>
      <c r="I83" s="237" t="s">
        <v>83</v>
      </c>
      <c r="J83" s="237" t="s">
        <v>109</v>
      </c>
      <c r="K83" s="238">
        <v>15</v>
      </c>
      <c r="L83" s="238">
        <v>26</v>
      </c>
      <c r="M83" s="238">
        <v>20.5</v>
      </c>
      <c r="N83" s="238">
        <v>12.75</v>
      </c>
      <c r="O83" s="238">
        <f t="shared" si="2"/>
        <v>74.25</v>
      </c>
      <c r="P83" s="238"/>
    </row>
    <row r="84" spans="1:16" ht="20.100000000000001" customHeight="1">
      <c r="A84" s="233">
        <v>83</v>
      </c>
      <c r="B84" s="237" t="s">
        <v>464</v>
      </c>
      <c r="C84" s="237"/>
      <c r="D84" s="237" t="s">
        <v>168</v>
      </c>
      <c r="E84" s="237" t="s">
        <v>79</v>
      </c>
      <c r="F84" s="237"/>
      <c r="G84" s="237" t="s">
        <v>26</v>
      </c>
      <c r="H84" s="237" t="s">
        <v>57</v>
      </c>
      <c r="I84" s="237" t="s">
        <v>101</v>
      </c>
      <c r="J84" s="237" t="s">
        <v>112</v>
      </c>
      <c r="K84" s="237">
        <v>15</v>
      </c>
      <c r="L84" s="237">
        <v>25</v>
      </c>
      <c r="M84" s="237">
        <v>20.75</v>
      </c>
      <c r="N84" s="237">
        <v>13.5</v>
      </c>
      <c r="O84" s="238">
        <f t="shared" si="2"/>
        <v>74.25</v>
      </c>
      <c r="P84" s="237"/>
    </row>
    <row r="85" spans="1:16" ht="20.100000000000001" customHeight="1">
      <c r="A85" s="233">
        <v>84</v>
      </c>
      <c r="B85" s="237" t="s">
        <v>395</v>
      </c>
      <c r="C85" s="237"/>
      <c r="D85" s="237" t="s">
        <v>168</v>
      </c>
      <c r="E85" s="237" t="s">
        <v>79</v>
      </c>
      <c r="F85" s="237"/>
      <c r="G85" s="237" t="s">
        <v>26</v>
      </c>
      <c r="H85" s="237" t="s">
        <v>64</v>
      </c>
      <c r="I85" s="237" t="s">
        <v>101</v>
      </c>
      <c r="J85" s="237" t="s">
        <v>112</v>
      </c>
      <c r="K85" s="238">
        <v>15</v>
      </c>
      <c r="L85" s="238">
        <v>26</v>
      </c>
      <c r="M85" s="238">
        <v>20.5</v>
      </c>
      <c r="N85" s="238">
        <v>12.5</v>
      </c>
      <c r="O85" s="238">
        <f t="shared" si="2"/>
        <v>74</v>
      </c>
      <c r="P85" s="238"/>
    </row>
    <row r="86" spans="1:16" ht="20.100000000000001" customHeight="1">
      <c r="A86" s="233">
        <v>85</v>
      </c>
      <c r="B86" s="237" t="s">
        <v>409</v>
      </c>
      <c r="C86" s="237"/>
      <c r="D86" s="237" t="s">
        <v>168</v>
      </c>
      <c r="E86" s="237" t="s">
        <v>79</v>
      </c>
      <c r="F86" s="237"/>
      <c r="G86" s="237" t="s">
        <v>26</v>
      </c>
      <c r="H86" s="237" t="s">
        <v>132</v>
      </c>
      <c r="I86" s="237" t="s">
        <v>102</v>
      </c>
      <c r="J86" s="237" t="s">
        <v>112</v>
      </c>
      <c r="K86" s="238">
        <v>15</v>
      </c>
      <c r="L86" s="238">
        <v>24</v>
      </c>
      <c r="M86" s="238">
        <v>21.25</v>
      </c>
      <c r="N86" s="238">
        <v>13.25</v>
      </c>
      <c r="O86" s="238">
        <f t="shared" si="2"/>
        <v>73.5</v>
      </c>
      <c r="P86" s="238"/>
    </row>
    <row r="87" spans="1:16" ht="20.100000000000001" customHeight="1">
      <c r="A87" s="233">
        <v>86</v>
      </c>
      <c r="B87" s="237" t="s">
        <v>341</v>
      </c>
      <c r="C87" s="237"/>
      <c r="D87" s="237" t="s">
        <v>168</v>
      </c>
      <c r="E87" s="237" t="s">
        <v>79</v>
      </c>
      <c r="F87" s="237"/>
      <c r="G87" s="237" t="s">
        <v>26</v>
      </c>
      <c r="H87" s="237" t="s">
        <v>78</v>
      </c>
      <c r="I87" s="237" t="s">
        <v>83</v>
      </c>
      <c r="J87" s="237" t="s">
        <v>112</v>
      </c>
      <c r="K87" s="238">
        <v>15</v>
      </c>
      <c r="L87" s="238">
        <v>25</v>
      </c>
      <c r="M87" s="238">
        <v>20.5</v>
      </c>
      <c r="N87" s="238">
        <v>12.75</v>
      </c>
      <c r="O87" s="238">
        <f t="shared" si="2"/>
        <v>73.25</v>
      </c>
      <c r="P87" s="238"/>
    </row>
    <row r="88" spans="1:16" ht="20.100000000000001" customHeight="1">
      <c r="A88" s="233">
        <v>87</v>
      </c>
      <c r="B88" s="237" t="s">
        <v>386</v>
      </c>
      <c r="C88" s="237"/>
      <c r="D88" s="237" t="s">
        <v>168</v>
      </c>
      <c r="E88" s="237" t="s">
        <v>79</v>
      </c>
      <c r="F88" s="237"/>
      <c r="G88" s="237" t="s">
        <v>26</v>
      </c>
      <c r="H88" s="237" t="s">
        <v>32</v>
      </c>
      <c r="I88" s="237" t="s">
        <v>164</v>
      </c>
      <c r="J88" s="237" t="s">
        <v>112</v>
      </c>
      <c r="K88" s="238">
        <v>15</v>
      </c>
      <c r="L88" s="238">
        <v>25</v>
      </c>
      <c r="M88" s="238">
        <v>20.5</v>
      </c>
      <c r="N88" s="238">
        <v>12.75</v>
      </c>
      <c r="O88" s="238">
        <f t="shared" si="2"/>
        <v>73.25</v>
      </c>
      <c r="P88" s="238"/>
    </row>
    <row r="89" spans="1:16" ht="20.100000000000001" customHeight="1">
      <c r="A89" s="233">
        <v>88</v>
      </c>
      <c r="B89" s="237" t="s">
        <v>436</v>
      </c>
      <c r="C89" s="237"/>
      <c r="D89" s="237" t="s">
        <v>168</v>
      </c>
      <c r="E89" s="237" t="s">
        <v>79</v>
      </c>
      <c r="F89" s="237"/>
      <c r="G89" s="237" t="s">
        <v>26</v>
      </c>
      <c r="H89" s="237" t="s">
        <v>34</v>
      </c>
      <c r="I89" s="237" t="s">
        <v>96</v>
      </c>
      <c r="J89" s="237" t="s">
        <v>112</v>
      </c>
      <c r="K89" s="238">
        <v>15</v>
      </c>
      <c r="L89" s="238">
        <v>25</v>
      </c>
      <c r="M89" s="238">
        <v>20.5</v>
      </c>
      <c r="N89" s="238">
        <v>12.5</v>
      </c>
      <c r="O89" s="238">
        <f t="shared" si="2"/>
        <v>73</v>
      </c>
      <c r="P89" s="238"/>
    </row>
    <row r="90" spans="1:16" ht="20.100000000000001" customHeight="1">
      <c r="A90" s="233">
        <v>89</v>
      </c>
      <c r="B90" s="237" t="s">
        <v>334</v>
      </c>
      <c r="C90" s="237"/>
      <c r="D90" s="237" t="s">
        <v>168</v>
      </c>
      <c r="E90" s="237" t="s">
        <v>79</v>
      </c>
      <c r="F90" s="237"/>
      <c r="G90" s="237" t="s">
        <v>26</v>
      </c>
      <c r="H90" s="237" t="s">
        <v>87</v>
      </c>
      <c r="I90" s="237" t="s">
        <v>81</v>
      </c>
      <c r="J90" s="237" t="s">
        <v>109</v>
      </c>
      <c r="K90" s="238">
        <v>15</v>
      </c>
      <c r="L90" s="238">
        <v>28</v>
      </c>
      <c r="M90" s="238">
        <v>17</v>
      </c>
      <c r="N90" s="238">
        <v>12.75</v>
      </c>
      <c r="O90" s="238">
        <f t="shared" si="2"/>
        <v>72.75</v>
      </c>
      <c r="P90" s="238"/>
    </row>
    <row r="91" spans="1:16" ht="20.100000000000001" customHeight="1">
      <c r="A91" s="233">
        <v>90</v>
      </c>
      <c r="B91" s="237" t="s">
        <v>328</v>
      </c>
      <c r="C91" s="237"/>
      <c r="D91" s="237" t="s">
        <v>168</v>
      </c>
      <c r="E91" s="237" t="s">
        <v>79</v>
      </c>
      <c r="F91" s="237"/>
      <c r="G91" s="237" t="s">
        <v>26</v>
      </c>
      <c r="H91" s="237" t="s">
        <v>182</v>
      </c>
      <c r="I91" s="237" t="s">
        <v>96</v>
      </c>
      <c r="J91" s="237" t="s">
        <v>125</v>
      </c>
      <c r="K91" s="238">
        <v>15</v>
      </c>
      <c r="L91" s="238">
        <v>25</v>
      </c>
      <c r="M91" s="238">
        <v>19</v>
      </c>
      <c r="N91" s="238">
        <v>13</v>
      </c>
      <c r="O91" s="238">
        <f t="shared" si="2"/>
        <v>72</v>
      </c>
      <c r="P91" s="238"/>
    </row>
    <row r="92" spans="1:16" ht="20.100000000000001" customHeight="1">
      <c r="A92" s="233">
        <v>91</v>
      </c>
      <c r="B92" s="237" t="s">
        <v>371</v>
      </c>
      <c r="C92" s="237"/>
      <c r="D92" s="237" t="s">
        <v>168</v>
      </c>
      <c r="E92" s="237" t="s">
        <v>79</v>
      </c>
      <c r="F92" s="237"/>
      <c r="G92" s="237" t="s">
        <v>26</v>
      </c>
      <c r="H92" s="237" t="s">
        <v>122</v>
      </c>
      <c r="I92" s="237" t="s">
        <v>81</v>
      </c>
      <c r="J92" s="237" t="s">
        <v>112</v>
      </c>
      <c r="K92" s="238">
        <v>15</v>
      </c>
      <c r="L92" s="238">
        <v>25</v>
      </c>
      <c r="M92" s="238">
        <v>19</v>
      </c>
      <c r="N92" s="238">
        <v>13</v>
      </c>
      <c r="O92" s="238">
        <f t="shared" si="2"/>
        <v>72</v>
      </c>
      <c r="P92" s="238"/>
    </row>
    <row r="93" spans="1:16" ht="20.100000000000001" customHeight="1">
      <c r="A93" s="233">
        <v>92</v>
      </c>
      <c r="B93" s="237" t="s">
        <v>485</v>
      </c>
      <c r="C93" s="237"/>
      <c r="D93" s="237" t="s">
        <v>168</v>
      </c>
      <c r="E93" s="237" t="s">
        <v>79</v>
      </c>
      <c r="F93" s="237"/>
      <c r="G93" s="237" t="s">
        <v>26</v>
      </c>
      <c r="H93" s="237" t="s">
        <v>75</v>
      </c>
      <c r="I93" s="237"/>
      <c r="J93" s="237" t="s">
        <v>112</v>
      </c>
      <c r="K93" s="237">
        <v>15</v>
      </c>
      <c r="L93" s="237">
        <v>26</v>
      </c>
      <c r="M93" s="237">
        <v>18</v>
      </c>
      <c r="N93" s="237">
        <v>12.5</v>
      </c>
      <c r="O93" s="238">
        <f t="shared" si="2"/>
        <v>71.5</v>
      </c>
      <c r="P93" s="237"/>
    </row>
    <row r="94" spans="1:16" ht="20.100000000000001" customHeight="1">
      <c r="A94" s="233">
        <v>93</v>
      </c>
      <c r="B94" s="237" t="s">
        <v>372</v>
      </c>
      <c r="C94" s="237"/>
      <c r="D94" s="237" t="s">
        <v>168</v>
      </c>
      <c r="E94" s="237" t="s">
        <v>79</v>
      </c>
      <c r="F94" s="237"/>
      <c r="G94" s="237" t="s">
        <v>26</v>
      </c>
      <c r="H94" s="237" t="s">
        <v>122</v>
      </c>
      <c r="I94" s="237" t="s">
        <v>81</v>
      </c>
      <c r="J94" s="237" t="s">
        <v>112</v>
      </c>
      <c r="K94" s="238">
        <v>15</v>
      </c>
      <c r="L94" s="238">
        <v>24</v>
      </c>
      <c r="M94" s="238">
        <v>20</v>
      </c>
      <c r="N94" s="238">
        <v>12.25</v>
      </c>
      <c r="O94" s="238">
        <f t="shared" si="2"/>
        <v>71.25</v>
      </c>
      <c r="P94" s="238"/>
    </row>
    <row r="95" spans="1:16" ht="20.100000000000001" customHeight="1">
      <c r="A95" s="233">
        <v>94</v>
      </c>
      <c r="B95" s="237" t="s">
        <v>457</v>
      </c>
      <c r="C95" s="237"/>
      <c r="D95" s="237" t="s">
        <v>168</v>
      </c>
      <c r="E95" s="237" t="s">
        <v>79</v>
      </c>
      <c r="F95" s="237"/>
      <c r="G95" s="237" t="s">
        <v>26</v>
      </c>
      <c r="H95" s="237" t="s">
        <v>159</v>
      </c>
      <c r="I95" s="237" t="s">
        <v>119</v>
      </c>
      <c r="J95" s="237" t="s">
        <v>109</v>
      </c>
      <c r="K95" s="238">
        <v>15</v>
      </c>
      <c r="L95" s="238">
        <v>23</v>
      </c>
      <c r="M95" s="238">
        <v>20.75</v>
      </c>
      <c r="N95" s="238">
        <v>12.5</v>
      </c>
      <c r="O95" s="238">
        <f t="shared" si="2"/>
        <v>71.25</v>
      </c>
      <c r="P95" s="238"/>
    </row>
    <row r="96" spans="1:16" ht="20.100000000000001" customHeight="1">
      <c r="A96" s="233">
        <v>95</v>
      </c>
      <c r="B96" s="237" t="s">
        <v>479</v>
      </c>
      <c r="C96" s="237"/>
      <c r="D96" s="237" t="s">
        <v>168</v>
      </c>
      <c r="E96" s="237" t="s">
        <v>79</v>
      </c>
      <c r="F96" s="237"/>
      <c r="G96" s="237" t="s">
        <v>26</v>
      </c>
      <c r="H96" s="237" t="s">
        <v>106</v>
      </c>
      <c r="I96" s="237" t="s">
        <v>101</v>
      </c>
      <c r="J96" s="237" t="s">
        <v>112</v>
      </c>
      <c r="K96" s="237">
        <v>15</v>
      </c>
      <c r="L96" s="237">
        <v>26</v>
      </c>
      <c r="M96" s="237">
        <v>19</v>
      </c>
      <c r="N96" s="237">
        <v>11</v>
      </c>
      <c r="O96" s="238">
        <f t="shared" si="2"/>
        <v>71</v>
      </c>
      <c r="P96" s="237"/>
    </row>
    <row r="97" spans="1:16" ht="20.100000000000001" customHeight="1">
      <c r="A97" s="233">
        <v>96</v>
      </c>
      <c r="B97" s="237" t="s">
        <v>310</v>
      </c>
      <c r="C97" s="237"/>
      <c r="D97" s="237" t="s">
        <v>168</v>
      </c>
      <c r="E97" s="237" t="s">
        <v>79</v>
      </c>
      <c r="F97" s="237"/>
      <c r="G97" s="237" t="s">
        <v>26</v>
      </c>
      <c r="H97" s="237" t="s">
        <v>111</v>
      </c>
      <c r="I97" s="237" t="s">
        <v>83</v>
      </c>
      <c r="J97" s="237" t="s">
        <v>112</v>
      </c>
      <c r="K97" s="238">
        <v>15</v>
      </c>
      <c r="L97" s="238">
        <v>22</v>
      </c>
      <c r="M97" s="238">
        <v>20.5</v>
      </c>
      <c r="N97" s="238">
        <v>12.5</v>
      </c>
      <c r="O97" s="238">
        <f t="shared" si="2"/>
        <v>70</v>
      </c>
      <c r="P97" s="238"/>
    </row>
    <row r="98" spans="1:16" ht="20.100000000000001" customHeight="1">
      <c r="A98" s="233">
        <v>97</v>
      </c>
      <c r="B98" s="237" t="s">
        <v>392</v>
      </c>
      <c r="C98" s="237"/>
      <c r="D98" s="237" t="s">
        <v>168</v>
      </c>
      <c r="E98" s="237" t="s">
        <v>79</v>
      </c>
      <c r="F98" s="237"/>
      <c r="G98" s="237" t="s">
        <v>26</v>
      </c>
      <c r="H98" s="237" t="s">
        <v>30</v>
      </c>
      <c r="I98" s="237" t="s">
        <v>101</v>
      </c>
      <c r="J98" s="237" t="s">
        <v>109</v>
      </c>
      <c r="K98" s="238">
        <v>15</v>
      </c>
      <c r="L98" s="238">
        <v>21</v>
      </c>
      <c r="M98" s="238">
        <v>20.75</v>
      </c>
      <c r="N98" s="238">
        <v>12.5</v>
      </c>
      <c r="O98" s="238">
        <f t="shared" ref="O98:O129" si="3">SUM(K98:N98)</f>
        <v>69.25</v>
      </c>
      <c r="P98" s="238"/>
    </row>
    <row r="99" spans="1:16" ht="20.100000000000001" customHeight="1">
      <c r="A99" s="233">
        <v>98</v>
      </c>
      <c r="B99" s="237" t="s">
        <v>313</v>
      </c>
      <c r="C99" s="237"/>
      <c r="D99" s="237" t="s">
        <v>168</v>
      </c>
      <c r="E99" s="237" t="s">
        <v>79</v>
      </c>
      <c r="F99" s="237"/>
      <c r="G99" s="237" t="s">
        <v>26</v>
      </c>
      <c r="H99" s="237" t="s">
        <v>84</v>
      </c>
      <c r="I99" s="237" t="s">
        <v>83</v>
      </c>
      <c r="J99" s="237" t="s">
        <v>112</v>
      </c>
      <c r="K99" s="238">
        <v>15</v>
      </c>
      <c r="L99" s="238">
        <v>24</v>
      </c>
      <c r="M99" s="238">
        <v>17</v>
      </c>
      <c r="N99" s="238">
        <v>11</v>
      </c>
      <c r="O99" s="238">
        <f t="shared" si="3"/>
        <v>67</v>
      </c>
      <c r="P99" s="238"/>
    </row>
    <row r="100" spans="1:16" ht="20.100000000000001" customHeight="1">
      <c r="A100" s="233">
        <v>99</v>
      </c>
      <c r="B100" s="237" t="s">
        <v>308</v>
      </c>
      <c r="C100" s="237"/>
      <c r="D100" s="237" t="s">
        <v>168</v>
      </c>
      <c r="E100" s="237" t="s">
        <v>79</v>
      </c>
      <c r="F100" s="237"/>
      <c r="G100" s="237" t="s">
        <v>26</v>
      </c>
      <c r="H100" s="237" t="s">
        <v>80</v>
      </c>
      <c r="I100" s="237" t="s">
        <v>83</v>
      </c>
      <c r="J100" s="237" t="s">
        <v>116</v>
      </c>
      <c r="K100" s="238">
        <v>15</v>
      </c>
      <c r="L100" s="238">
        <v>20</v>
      </c>
      <c r="M100" s="238">
        <v>19</v>
      </c>
      <c r="N100" s="238">
        <v>12.75</v>
      </c>
      <c r="O100" s="238">
        <f t="shared" si="3"/>
        <v>66.75</v>
      </c>
      <c r="P100" s="238"/>
    </row>
    <row r="101" spans="1:16" ht="20.100000000000001" customHeight="1">
      <c r="A101" s="233">
        <v>100</v>
      </c>
      <c r="B101" s="237" t="s">
        <v>312</v>
      </c>
      <c r="C101" s="237"/>
      <c r="D101" s="237" t="s">
        <v>168</v>
      </c>
      <c r="E101" s="237" t="s">
        <v>79</v>
      </c>
      <c r="F101" s="237"/>
      <c r="G101" s="237" t="s">
        <v>26</v>
      </c>
      <c r="H101" s="237" t="s">
        <v>84</v>
      </c>
      <c r="I101" s="237" t="s">
        <v>83</v>
      </c>
      <c r="J101" s="237" t="s">
        <v>112</v>
      </c>
      <c r="K101" s="238"/>
      <c r="L101" s="238"/>
      <c r="M101" s="238"/>
      <c r="N101" s="238"/>
      <c r="O101" s="238">
        <f t="shared" si="3"/>
        <v>0</v>
      </c>
      <c r="P101" s="238" t="s">
        <v>911</v>
      </c>
    </row>
    <row r="102" spans="1:16" ht="20.100000000000001" customHeight="1">
      <c r="A102" s="233">
        <v>101</v>
      </c>
      <c r="B102" s="237" t="s">
        <v>448</v>
      </c>
      <c r="C102" s="237"/>
      <c r="D102" s="237" t="s">
        <v>168</v>
      </c>
      <c r="E102" s="237" t="s">
        <v>79</v>
      </c>
      <c r="F102" s="237"/>
      <c r="G102" s="237" t="s">
        <v>26</v>
      </c>
      <c r="H102" s="237" t="s">
        <v>100</v>
      </c>
      <c r="I102" s="237" t="s">
        <v>101</v>
      </c>
      <c r="J102" s="237" t="s">
        <v>109</v>
      </c>
      <c r="K102" s="238"/>
      <c r="L102" s="238"/>
      <c r="M102" s="238"/>
      <c r="N102" s="238"/>
      <c r="O102" s="238">
        <f t="shared" si="3"/>
        <v>0</v>
      </c>
      <c r="P102" s="238" t="s">
        <v>1276</v>
      </c>
    </row>
    <row r="103" spans="1:16" ht="20.100000000000001" customHeight="1">
      <c r="A103" s="233">
        <v>102</v>
      </c>
      <c r="B103" s="237" t="s">
        <v>463</v>
      </c>
      <c r="C103" s="237"/>
      <c r="D103" s="237" t="s">
        <v>168</v>
      </c>
      <c r="E103" s="237" t="s">
        <v>79</v>
      </c>
      <c r="F103" s="237"/>
      <c r="G103" s="237" t="s">
        <v>26</v>
      </c>
      <c r="H103" s="237" t="s">
        <v>57</v>
      </c>
      <c r="I103" s="237" t="s">
        <v>101</v>
      </c>
      <c r="J103" s="237" t="s">
        <v>112</v>
      </c>
      <c r="K103" s="237"/>
      <c r="L103" s="237"/>
      <c r="M103" s="237"/>
      <c r="N103" s="237"/>
      <c r="O103" s="238">
        <f t="shared" si="3"/>
        <v>0</v>
      </c>
      <c r="P103" s="238" t="s">
        <v>1276</v>
      </c>
    </row>
    <row r="104" spans="1:16" ht="20.100000000000001" customHeight="1">
      <c r="A104" s="233">
        <v>103</v>
      </c>
      <c r="B104" s="237" t="s">
        <v>489</v>
      </c>
      <c r="C104" s="237"/>
      <c r="D104" s="237" t="s">
        <v>168</v>
      </c>
      <c r="E104" s="237" t="s">
        <v>79</v>
      </c>
      <c r="F104" s="237"/>
      <c r="G104" s="237" t="s">
        <v>26</v>
      </c>
      <c r="H104" s="237" t="s">
        <v>299</v>
      </c>
      <c r="I104" s="237" t="s">
        <v>101</v>
      </c>
      <c r="J104" s="237" t="s">
        <v>109</v>
      </c>
      <c r="K104" s="237"/>
      <c r="L104" s="237"/>
      <c r="M104" s="237"/>
      <c r="N104" s="237"/>
      <c r="O104" s="238">
        <f t="shared" si="3"/>
        <v>0</v>
      </c>
      <c r="P104" s="238" t="s">
        <v>1276</v>
      </c>
    </row>
    <row r="105" spans="1:16" ht="20.100000000000001" customHeight="1">
      <c r="A105" s="233">
        <v>104</v>
      </c>
      <c r="B105" s="240" t="s">
        <v>317</v>
      </c>
      <c r="C105" s="240"/>
      <c r="D105" s="240" t="s">
        <v>168</v>
      </c>
      <c r="E105" s="240" t="s">
        <v>79</v>
      </c>
      <c r="F105" s="240"/>
      <c r="G105" s="240" t="s">
        <v>25</v>
      </c>
      <c r="H105" s="240" t="s">
        <v>318</v>
      </c>
      <c r="I105" s="240" t="s">
        <v>86</v>
      </c>
      <c r="J105" s="240" t="s">
        <v>109</v>
      </c>
      <c r="K105" s="241">
        <v>15</v>
      </c>
      <c r="L105" s="241">
        <v>31</v>
      </c>
      <c r="M105" s="241">
        <v>25</v>
      </c>
      <c r="N105" s="241">
        <v>16.5</v>
      </c>
      <c r="O105" s="241">
        <f t="shared" si="3"/>
        <v>87.5</v>
      </c>
      <c r="P105" s="241"/>
    </row>
    <row r="106" spans="1:16" ht="20.100000000000001" customHeight="1">
      <c r="A106" s="233">
        <v>105</v>
      </c>
      <c r="B106" s="240" t="s">
        <v>400</v>
      </c>
      <c r="C106" s="240"/>
      <c r="D106" s="240" t="s">
        <v>168</v>
      </c>
      <c r="E106" s="240" t="s">
        <v>79</v>
      </c>
      <c r="F106" s="240"/>
      <c r="G106" s="240" t="s">
        <v>25</v>
      </c>
      <c r="H106" s="240" t="s">
        <v>53</v>
      </c>
      <c r="I106" s="240" t="s">
        <v>83</v>
      </c>
      <c r="J106" s="240" t="s">
        <v>112</v>
      </c>
      <c r="K106" s="241">
        <v>15</v>
      </c>
      <c r="L106" s="241">
        <v>30</v>
      </c>
      <c r="M106" s="241">
        <v>26</v>
      </c>
      <c r="N106" s="241">
        <v>15.5</v>
      </c>
      <c r="O106" s="241">
        <f t="shared" si="3"/>
        <v>86.5</v>
      </c>
      <c r="P106" s="241"/>
    </row>
    <row r="107" spans="1:16" ht="20.100000000000001" customHeight="1">
      <c r="A107" s="233">
        <v>106</v>
      </c>
      <c r="B107" s="240" t="s">
        <v>431</v>
      </c>
      <c r="C107" s="240"/>
      <c r="D107" s="240" t="s">
        <v>168</v>
      </c>
      <c r="E107" s="240" t="s">
        <v>79</v>
      </c>
      <c r="F107" s="240"/>
      <c r="G107" s="240" t="s">
        <v>259</v>
      </c>
      <c r="H107" s="240" t="s">
        <v>59</v>
      </c>
      <c r="I107" s="240" t="s">
        <v>136</v>
      </c>
      <c r="J107" s="240" t="s">
        <v>125</v>
      </c>
      <c r="K107" s="241">
        <v>15</v>
      </c>
      <c r="L107" s="241">
        <v>31</v>
      </c>
      <c r="M107" s="241">
        <v>23</v>
      </c>
      <c r="N107" s="241">
        <v>15.75</v>
      </c>
      <c r="O107" s="241">
        <f t="shared" si="3"/>
        <v>84.75</v>
      </c>
      <c r="P107" s="241"/>
    </row>
    <row r="108" spans="1:16" ht="20.100000000000001" customHeight="1">
      <c r="A108" s="233">
        <v>107</v>
      </c>
      <c r="B108" s="240" t="s">
        <v>302</v>
      </c>
      <c r="C108" s="240"/>
      <c r="D108" s="240" t="s">
        <v>168</v>
      </c>
      <c r="E108" s="240" t="s">
        <v>79</v>
      </c>
      <c r="F108" s="240"/>
      <c r="G108" s="240" t="s">
        <v>25</v>
      </c>
      <c r="H108" s="240" t="s">
        <v>73</v>
      </c>
      <c r="I108" s="240" t="s">
        <v>240</v>
      </c>
      <c r="J108" s="240" t="s">
        <v>112</v>
      </c>
      <c r="K108" s="241">
        <v>15</v>
      </c>
      <c r="L108" s="241">
        <v>30</v>
      </c>
      <c r="M108" s="241">
        <v>24.25</v>
      </c>
      <c r="N108" s="241">
        <v>15.5</v>
      </c>
      <c r="O108" s="241">
        <f t="shared" si="3"/>
        <v>84.75</v>
      </c>
      <c r="P108" s="241"/>
    </row>
    <row r="109" spans="1:16" ht="20.100000000000001" customHeight="1">
      <c r="A109" s="233">
        <v>108</v>
      </c>
      <c r="B109" s="240" t="s">
        <v>439</v>
      </c>
      <c r="C109" s="240"/>
      <c r="D109" s="240" t="s">
        <v>168</v>
      </c>
      <c r="E109" s="240" t="s">
        <v>79</v>
      </c>
      <c r="F109" s="240"/>
      <c r="G109" s="240" t="s">
        <v>25</v>
      </c>
      <c r="H109" s="240" t="s">
        <v>55</v>
      </c>
      <c r="I109" s="240" t="s">
        <v>86</v>
      </c>
      <c r="J109" s="240" t="s">
        <v>112</v>
      </c>
      <c r="K109" s="241">
        <v>15</v>
      </c>
      <c r="L109" s="241">
        <v>30</v>
      </c>
      <c r="M109" s="241">
        <v>23</v>
      </c>
      <c r="N109" s="241">
        <v>16.5</v>
      </c>
      <c r="O109" s="241">
        <f t="shared" si="3"/>
        <v>84.5</v>
      </c>
      <c r="P109" s="241"/>
    </row>
    <row r="110" spans="1:16" ht="20.100000000000001" customHeight="1">
      <c r="A110" s="233">
        <v>109</v>
      </c>
      <c r="B110" s="240" t="s">
        <v>482</v>
      </c>
      <c r="C110" s="240"/>
      <c r="D110" s="240" t="s">
        <v>168</v>
      </c>
      <c r="E110" s="240" t="s">
        <v>79</v>
      </c>
      <c r="F110" s="240"/>
      <c r="G110" s="240" t="s">
        <v>25</v>
      </c>
      <c r="H110" s="240" t="s">
        <v>71</v>
      </c>
      <c r="I110" s="240" t="s">
        <v>119</v>
      </c>
      <c r="J110" s="240" t="s">
        <v>112</v>
      </c>
      <c r="K110" s="240">
        <v>15</v>
      </c>
      <c r="L110" s="240">
        <v>30</v>
      </c>
      <c r="M110" s="240">
        <v>23.5</v>
      </c>
      <c r="N110" s="240">
        <v>15.75</v>
      </c>
      <c r="O110" s="241">
        <f t="shared" si="3"/>
        <v>84.25</v>
      </c>
      <c r="P110" s="240"/>
    </row>
    <row r="111" spans="1:16" ht="20.100000000000001" customHeight="1">
      <c r="A111" s="233">
        <v>110</v>
      </c>
      <c r="B111" s="240" t="s">
        <v>474</v>
      </c>
      <c r="C111" s="240"/>
      <c r="D111" s="240" t="s">
        <v>168</v>
      </c>
      <c r="E111" s="240" t="s">
        <v>79</v>
      </c>
      <c r="F111" s="240"/>
      <c r="G111" s="240" t="s">
        <v>25</v>
      </c>
      <c r="H111" s="240" t="s">
        <v>139</v>
      </c>
      <c r="I111" s="240" t="s">
        <v>83</v>
      </c>
      <c r="J111" s="240" t="s">
        <v>109</v>
      </c>
      <c r="K111" s="240">
        <v>15</v>
      </c>
      <c r="L111" s="240">
        <v>30</v>
      </c>
      <c r="M111" s="240">
        <v>24</v>
      </c>
      <c r="N111" s="240">
        <v>15</v>
      </c>
      <c r="O111" s="241">
        <f t="shared" si="3"/>
        <v>84</v>
      </c>
      <c r="P111" s="240"/>
    </row>
    <row r="112" spans="1:16" ht="20.100000000000001" customHeight="1">
      <c r="A112" s="233">
        <v>111</v>
      </c>
      <c r="B112" s="240" t="s">
        <v>486</v>
      </c>
      <c r="C112" s="240"/>
      <c r="D112" s="240" t="s">
        <v>168</v>
      </c>
      <c r="E112" s="240" t="s">
        <v>79</v>
      </c>
      <c r="F112" s="240"/>
      <c r="G112" s="240" t="s">
        <v>25</v>
      </c>
      <c r="H112" s="240" t="s">
        <v>75</v>
      </c>
      <c r="I112" s="240"/>
      <c r="J112" s="240" t="s">
        <v>112</v>
      </c>
      <c r="K112" s="240">
        <v>15</v>
      </c>
      <c r="L112" s="240">
        <v>30</v>
      </c>
      <c r="M112" s="240">
        <v>23</v>
      </c>
      <c r="N112" s="240">
        <v>16</v>
      </c>
      <c r="O112" s="241">
        <f t="shared" si="3"/>
        <v>84</v>
      </c>
      <c r="P112" s="240"/>
    </row>
    <row r="113" spans="1:16" ht="20.100000000000001" customHeight="1">
      <c r="A113" s="233">
        <v>112</v>
      </c>
      <c r="B113" s="240" t="s">
        <v>488</v>
      </c>
      <c r="C113" s="240"/>
      <c r="D113" s="240" t="s">
        <v>168</v>
      </c>
      <c r="E113" s="240" t="s">
        <v>79</v>
      </c>
      <c r="F113" s="240"/>
      <c r="G113" s="240" t="s">
        <v>25</v>
      </c>
      <c r="H113" s="240" t="s">
        <v>107</v>
      </c>
      <c r="I113" s="240" t="s">
        <v>83</v>
      </c>
      <c r="J113" s="240" t="s">
        <v>109</v>
      </c>
      <c r="K113" s="240">
        <v>15</v>
      </c>
      <c r="L113" s="240">
        <v>30</v>
      </c>
      <c r="M113" s="240">
        <v>23.5</v>
      </c>
      <c r="N113" s="240">
        <v>14.5</v>
      </c>
      <c r="O113" s="241">
        <f t="shared" si="3"/>
        <v>83</v>
      </c>
      <c r="P113" s="240"/>
    </row>
    <row r="114" spans="1:16" ht="20.100000000000001" customHeight="1">
      <c r="A114" s="233">
        <v>113</v>
      </c>
      <c r="B114" s="240" t="s">
        <v>417</v>
      </c>
      <c r="C114" s="240"/>
      <c r="D114" s="240" t="s">
        <v>168</v>
      </c>
      <c r="E114" s="240" t="s">
        <v>79</v>
      </c>
      <c r="F114" s="240"/>
      <c r="G114" s="240" t="s">
        <v>92</v>
      </c>
      <c r="H114" s="240" t="s">
        <v>52</v>
      </c>
      <c r="I114" s="240" t="s">
        <v>418</v>
      </c>
      <c r="J114" s="240" t="s">
        <v>112</v>
      </c>
      <c r="K114" s="241">
        <v>15</v>
      </c>
      <c r="L114" s="241">
        <v>30</v>
      </c>
      <c r="M114" s="241">
        <v>23</v>
      </c>
      <c r="N114" s="241">
        <v>14.75</v>
      </c>
      <c r="O114" s="241">
        <f t="shared" si="3"/>
        <v>82.75</v>
      </c>
      <c r="P114" s="241"/>
    </row>
    <row r="115" spans="1:16" ht="20.100000000000001" customHeight="1">
      <c r="A115" s="233">
        <v>114</v>
      </c>
      <c r="B115" s="240" t="s">
        <v>320</v>
      </c>
      <c r="C115" s="240"/>
      <c r="D115" s="240" t="s">
        <v>168</v>
      </c>
      <c r="E115" s="240" t="s">
        <v>79</v>
      </c>
      <c r="F115" s="240"/>
      <c r="G115" s="240" t="s">
        <v>25</v>
      </c>
      <c r="H115" s="240" t="s">
        <v>113</v>
      </c>
      <c r="I115" s="240" t="s">
        <v>83</v>
      </c>
      <c r="J115" s="240" t="s">
        <v>112</v>
      </c>
      <c r="K115" s="241">
        <v>15</v>
      </c>
      <c r="L115" s="241">
        <v>30</v>
      </c>
      <c r="M115" s="241">
        <v>22</v>
      </c>
      <c r="N115" s="241">
        <v>15.75</v>
      </c>
      <c r="O115" s="241">
        <f t="shared" si="3"/>
        <v>82.75</v>
      </c>
      <c r="P115" s="241"/>
    </row>
    <row r="116" spans="1:16" ht="20.100000000000001" customHeight="1">
      <c r="A116" s="233">
        <v>115</v>
      </c>
      <c r="B116" s="240" t="s">
        <v>326</v>
      </c>
      <c r="C116" s="240"/>
      <c r="D116" s="240" t="s">
        <v>168</v>
      </c>
      <c r="E116" s="240" t="s">
        <v>79</v>
      </c>
      <c r="F116" s="240"/>
      <c r="G116" s="240" t="s">
        <v>25</v>
      </c>
      <c r="H116" s="240" t="s">
        <v>182</v>
      </c>
      <c r="I116" s="240" t="s">
        <v>86</v>
      </c>
      <c r="J116" s="240" t="s">
        <v>125</v>
      </c>
      <c r="K116" s="241">
        <v>15</v>
      </c>
      <c r="L116" s="241">
        <v>30</v>
      </c>
      <c r="M116" s="241">
        <v>23</v>
      </c>
      <c r="N116" s="241">
        <v>14.25</v>
      </c>
      <c r="O116" s="241">
        <f t="shared" si="3"/>
        <v>82.25</v>
      </c>
      <c r="P116" s="241"/>
    </row>
    <row r="117" spans="1:16" ht="20.100000000000001" customHeight="1">
      <c r="A117" s="233">
        <v>116</v>
      </c>
      <c r="B117" s="240" t="s">
        <v>427</v>
      </c>
      <c r="C117" s="240"/>
      <c r="D117" s="240" t="s">
        <v>168</v>
      </c>
      <c r="E117" s="240" t="s">
        <v>79</v>
      </c>
      <c r="F117" s="240"/>
      <c r="G117" s="240" t="s">
        <v>25</v>
      </c>
      <c r="H117" s="240" t="s">
        <v>60</v>
      </c>
      <c r="I117" s="240" t="s">
        <v>83</v>
      </c>
      <c r="J117" s="240" t="s">
        <v>112</v>
      </c>
      <c r="K117" s="241">
        <v>15</v>
      </c>
      <c r="L117" s="241">
        <v>30</v>
      </c>
      <c r="M117" s="241">
        <v>23</v>
      </c>
      <c r="N117" s="241">
        <v>14.25</v>
      </c>
      <c r="O117" s="241">
        <f t="shared" si="3"/>
        <v>82.25</v>
      </c>
      <c r="P117" s="241"/>
    </row>
    <row r="118" spans="1:16" ht="20.100000000000001" customHeight="1">
      <c r="A118" s="233">
        <v>117</v>
      </c>
      <c r="B118" s="240" t="s">
        <v>462</v>
      </c>
      <c r="C118" s="240"/>
      <c r="D118" s="240" t="s">
        <v>168</v>
      </c>
      <c r="E118" s="240" t="s">
        <v>79</v>
      </c>
      <c r="F118" s="240"/>
      <c r="G118" s="240" t="s">
        <v>25</v>
      </c>
      <c r="H118" s="240" t="s">
        <v>57</v>
      </c>
      <c r="I118" s="240" t="s">
        <v>86</v>
      </c>
      <c r="J118" s="240" t="s">
        <v>112</v>
      </c>
      <c r="K118" s="240">
        <v>15</v>
      </c>
      <c r="L118" s="240">
        <v>30</v>
      </c>
      <c r="M118" s="240">
        <v>22.25</v>
      </c>
      <c r="N118" s="240">
        <v>14.75</v>
      </c>
      <c r="O118" s="241">
        <f t="shared" si="3"/>
        <v>82</v>
      </c>
      <c r="P118" s="240" t="s">
        <v>919</v>
      </c>
    </row>
    <row r="119" spans="1:16" ht="20.100000000000001" customHeight="1">
      <c r="A119" s="233">
        <v>118</v>
      </c>
      <c r="B119" s="240" t="s">
        <v>468</v>
      </c>
      <c r="C119" s="240"/>
      <c r="D119" s="240" t="s">
        <v>168</v>
      </c>
      <c r="E119" s="240" t="s">
        <v>79</v>
      </c>
      <c r="F119" s="240"/>
      <c r="G119" s="240" t="s">
        <v>25</v>
      </c>
      <c r="H119" s="240" t="s">
        <v>58</v>
      </c>
      <c r="I119" s="240" t="s">
        <v>86</v>
      </c>
      <c r="J119" s="240" t="s">
        <v>109</v>
      </c>
      <c r="K119" s="240">
        <v>15</v>
      </c>
      <c r="L119" s="240">
        <v>28</v>
      </c>
      <c r="M119" s="240">
        <v>22.75</v>
      </c>
      <c r="N119" s="240">
        <v>15.5</v>
      </c>
      <c r="O119" s="241">
        <f t="shared" si="3"/>
        <v>81.25</v>
      </c>
      <c r="P119" s="240"/>
    </row>
    <row r="120" spans="1:16" ht="20.100000000000001" customHeight="1">
      <c r="A120" s="233">
        <v>119</v>
      </c>
      <c r="B120" s="240" t="s">
        <v>471</v>
      </c>
      <c r="C120" s="240"/>
      <c r="D120" s="240" t="s">
        <v>168</v>
      </c>
      <c r="E120" s="240" t="s">
        <v>79</v>
      </c>
      <c r="F120" s="240"/>
      <c r="G120" s="240" t="s">
        <v>25</v>
      </c>
      <c r="H120" s="240" t="s">
        <v>40</v>
      </c>
      <c r="I120" s="240" t="s">
        <v>81</v>
      </c>
      <c r="J120" s="240" t="s">
        <v>112</v>
      </c>
      <c r="K120" s="240">
        <v>15</v>
      </c>
      <c r="L120" s="240">
        <v>28</v>
      </c>
      <c r="M120" s="240">
        <v>23.5</v>
      </c>
      <c r="N120" s="240">
        <v>14.75</v>
      </c>
      <c r="O120" s="241">
        <f t="shared" si="3"/>
        <v>81.25</v>
      </c>
      <c r="P120" s="240"/>
    </row>
    <row r="121" spans="1:16" ht="20.100000000000001" customHeight="1">
      <c r="A121" s="233">
        <v>120</v>
      </c>
      <c r="B121" s="240" t="s">
        <v>461</v>
      </c>
      <c r="C121" s="240"/>
      <c r="D121" s="240" t="s">
        <v>168</v>
      </c>
      <c r="E121" s="240" t="s">
        <v>79</v>
      </c>
      <c r="F121" s="240"/>
      <c r="G121" s="240" t="s">
        <v>25</v>
      </c>
      <c r="H121" s="240" t="s">
        <v>280</v>
      </c>
      <c r="I121" s="240" t="s">
        <v>86</v>
      </c>
      <c r="J121" s="240" t="s">
        <v>109</v>
      </c>
      <c r="K121" s="240">
        <v>15</v>
      </c>
      <c r="L121" s="240">
        <v>30</v>
      </c>
      <c r="M121" s="240">
        <v>21.5</v>
      </c>
      <c r="N121" s="240">
        <v>14.5</v>
      </c>
      <c r="O121" s="241">
        <f t="shared" si="3"/>
        <v>81</v>
      </c>
      <c r="P121" s="240"/>
    </row>
    <row r="122" spans="1:16" ht="20.100000000000001" customHeight="1">
      <c r="A122" s="233">
        <v>121</v>
      </c>
      <c r="B122" s="240" t="s">
        <v>1256</v>
      </c>
      <c r="C122" s="240"/>
      <c r="D122" s="240"/>
      <c r="E122" s="240" t="s">
        <v>128</v>
      </c>
      <c r="F122" s="240"/>
      <c r="G122" s="240" t="s">
        <v>26</v>
      </c>
      <c r="H122" s="240" t="s">
        <v>71</v>
      </c>
      <c r="I122" s="240"/>
      <c r="J122" s="240"/>
      <c r="K122" s="240">
        <v>15</v>
      </c>
      <c r="L122" s="240">
        <v>29</v>
      </c>
      <c r="M122" s="240">
        <v>22</v>
      </c>
      <c r="N122" s="240">
        <v>14.25</v>
      </c>
      <c r="O122" s="240">
        <f t="shared" si="3"/>
        <v>80.25</v>
      </c>
      <c r="P122" s="240"/>
    </row>
    <row r="123" spans="1:16" ht="20.100000000000001" customHeight="1">
      <c r="A123" s="233">
        <v>122</v>
      </c>
      <c r="B123" s="240" t="s">
        <v>381</v>
      </c>
      <c r="C123" s="240"/>
      <c r="D123" s="240" t="s">
        <v>168</v>
      </c>
      <c r="E123" s="240" t="s">
        <v>103</v>
      </c>
      <c r="F123" s="240"/>
      <c r="G123" s="240" t="s">
        <v>25</v>
      </c>
      <c r="H123" s="240" t="s">
        <v>127</v>
      </c>
      <c r="I123" s="240" t="s">
        <v>86</v>
      </c>
      <c r="J123" s="240" t="s">
        <v>112</v>
      </c>
      <c r="K123" s="241">
        <v>15</v>
      </c>
      <c r="L123" s="241">
        <v>27</v>
      </c>
      <c r="M123" s="241">
        <v>22.75</v>
      </c>
      <c r="N123" s="241">
        <v>15</v>
      </c>
      <c r="O123" s="241">
        <f t="shared" si="3"/>
        <v>79.75</v>
      </c>
      <c r="P123" s="241"/>
    </row>
    <row r="124" spans="1:16" ht="20.100000000000001" customHeight="1">
      <c r="A124" s="233">
        <v>123</v>
      </c>
      <c r="B124" s="240" t="s">
        <v>434</v>
      </c>
      <c r="C124" s="240"/>
      <c r="D124" s="240" t="s">
        <v>168</v>
      </c>
      <c r="E124" s="240" t="s">
        <v>79</v>
      </c>
      <c r="F124" s="240"/>
      <c r="G124" s="240" t="s">
        <v>25</v>
      </c>
      <c r="H124" s="240" t="s">
        <v>29</v>
      </c>
      <c r="I124" s="240" t="s">
        <v>102</v>
      </c>
      <c r="J124" s="240" t="s">
        <v>109</v>
      </c>
      <c r="K124" s="241">
        <v>15</v>
      </c>
      <c r="L124" s="241">
        <v>30</v>
      </c>
      <c r="M124" s="241">
        <v>21.25</v>
      </c>
      <c r="N124" s="241">
        <v>13.5</v>
      </c>
      <c r="O124" s="241">
        <f t="shared" si="3"/>
        <v>79.75</v>
      </c>
      <c r="P124" s="241"/>
    </row>
    <row r="125" spans="1:16" ht="20.100000000000001" customHeight="1">
      <c r="A125" s="233">
        <v>124</v>
      </c>
      <c r="B125" s="240" t="s">
        <v>472</v>
      </c>
      <c r="C125" s="240"/>
      <c r="D125" s="240" t="s">
        <v>168</v>
      </c>
      <c r="E125" s="240" t="s">
        <v>79</v>
      </c>
      <c r="F125" s="240"/>
      <c r="G125" s="240" t="s">
        <v>25</v>
      </c>
      <c r="H125" s="240" t="s">
        <v>40</v>
      </c>
      <c r="I125" s="240" t="s">
        <v>86</v>
      </c>
      <c r="J125" s="240" t="s">
        <v>112</v>
      </c>
      <c r="K125" s="240">
        <v>15</v>
      </c>
      <c r="L125" s="240">
        <v>29</v>
      </c>
      <c r="M125" s="240">
        <v>21.25</v>
      </c>
      <c r="N125" s="240">
        <v>14.5</v>
      </c>
      <c r="O125" s="241">
        <f t="shared" si="3"/>
        <v>79.75</v>
      </c>
      <c r="P125" s="240"/>
    </row>
    <row r="126" spans="1:16" ht="20.100000000000001" customHeight="1">
      <c r="A126" s="233">
        <v>125</v>
      </c>
      <c r="B126" s="240" t="s">
        <v>478</v>
      </c>
      <c r="C126" s="240"/>
      <c r="D126" s="240" t="s">
        <v>168</v>
      </c>
      <c r="E126" s="240" t="s">
        <v>103</v>
      </c>
      <c r="F126" s="240"/>
      <c r="G126" s="240" t="s">
        <v>25</v>
      </c>
      <c r="H126" s="240" t="s">
        <v>105</v>
      </c>
      <c r="I126" s="240" t="s">
        <v>83</v>
      </c>
      <c r="J126" s="240" t="s">
        <v>112</v>
      </c>
      <c r="K126" s="240">
        <v>15</v>
      </c>
      <c r="L126" s="240">
        <v>30</v>
      </c>
      <c r="M126" s="240">
        <v>21.5</v>
      </c>
      <c r="N126" s="240">
        <v>13.25</v>
      </c>
      <c r="O126" s="241">
        <f t="shared" si="3"/>
        <v>79.75</v>
      </c>
      <c r="P126" s="240"/>
    </row>
    <row r="127" spans="1:16" ht="20.100000000000001" customHeight="1">
      <c r="A127" s="233">
        <v>126</v>
      </c>
      <c r="B127" s="240" t="s">
        <v>419</v>
      </c>
      <c r="C127" s="240"/>
      <c r="D127" s="240" t="s">
        <v>168</v>
      </c>
      <c r="E127" s="240" t="s">
        <v>79</v>
      </c>
      <c r="F127" s="240"/>
      <c r="G127" s="240" t="s">
        <v>92</v>
      </c>
      <c r="H127" s="240" t="s">
        <v>52</v>
      </c>
      <c r="I127" s="240" t="s">
        <v>420</v>
      </c>
      <c r="J127" s="240" t="s">
        <v>112</v>
      </c>
      <c r="K127" s="241">
        <v>15</v>
      </c>
      <c r="L127" s="241">
        <v>27</v>
      </c>
      <c r="M127" s="241">
        <v>23.5</v>
      </c>
      <c r="N127" s="241">
        <v>14</v>
      </c>
      <c r="O127" s="241">
        <f t="shared" si="3"/>
        <v>79.5</v>
      </c>
      <c r="P127" s="241"/>
    </row>
    <row r="128" spans="1:16" ht="20.100000000000001" customHeight="1">
      <c r="A128" s="233">
        <v>127</v>
      </c>
      <c r="B128" s="240" t="s">
        <v>316</v>
      </c>
      <c r="C128" s="240"/>
      <c r="D128" s="240" t="s">
        <v>168</v>
      </c>
      <c r="E128" s="240" t="s">
        <v>79</v>
      </c>
      <c r="F128" s="240"/>
      <c r="G128" s="240" t="s">
        <v>25</v>
      </c>
      <c r="H128" s="240" t="s">
        <v>74</v>
      </c>
      <c r="I128" s="240" t="s">
        <v>83</v>
      </c>
      <c r="J128" s="240" t="s">
        <v>109</v>
      </c>
      <c r="K128" s="241">
        <v>15</v>
      </c>
      <c r="L128" s="241">
        <v>28</v>
      </c>
      <c r="M128" s="241">
        <v>22.5</v>
      </c>
      <c r="N128" s="241">
        <v>14</v>
      </c>
      <c r="O128" s="241">
        <f t="shared" si="3"/>
        <v>79.5</v>
      </c>
      <c r="P128" s="241"/>
    </row>
    <row r="129" spans="1:16" ht="20.100000000000001" customHeight="1">
      <c r="A129" s="233">
        <v>128</v>
      </c>
      <c r="B129" s="240" t="s">
        <v>354</v>
      </c>
      <c r="C129" s="240"/>
      <c r="D129" s="240" t="s">
        <v>168</v>
      </c>
      <c r="E129" s="240" t="s">
        <v>79</v>
      </c>
      <c r="F129" s="240"/>
      <c r="G129" s="240" t="s">
        <v>25</v>
      </c>
      <c r="H129" s="240" t="s">
        <v>72</v>
      </c>
      <c r="I129" s="240" t="s">
        <v>102</v>
      </c>
      <c r="J129" s="240" t="s">
        <v>109</v>
      </c>
      <c r="K129" s="241">
        <v>15</v>
      </c>
      <c r="L129" s="241">
        <v>29</v>
      </c>
      <c r="M129" s="241">
        <v>21</v>
      </c>
      <c r="N129" s="241">
        <v>14.5</v>
      </c>
      <c r="O129" s="241">
        <f t="shared" si="3"/>
        <v>79.5</v>
      </c>
      <c r="P129" s="241"/>
    </row>
    <row r="130" spans="1:16" ht="20.100000000000001" customHeight="1">
      <c r="A130" s="233">
        <v>129</v>
      </c>
      <c r="B130" s="240" t="s">
        <v>362</v>
      </c>
      <c r="C130" s="240"/>
      <c r="D130" s="240" t="s">
        <v>168</v>
      </c>
      <c r="E130" s="240" t="s">
        <v>79</v>
      </c>
      <c r="F130" s="240"/>
      <c r="G130" s="240" t="s">
        <v>25</v>
      </c>
      <c r="H130" s="240" t="s">
        <v>69</v>
      </c>
      <c r="I130" s="240" t="s">
        <v>363</v>
      </c>
      <c r="J130" s="240" t="s">
        <v>112</v>
      </c>
      <c r="K130" s="241">
        <v>15</v>
      </c>
      <c r="L130" s="241">
        <v>29</v>
      </c>
      <c r="M130" s="241">
        <v>22</v>
      </c>
      <c r="N130" s="241">
        <v>13.5</v>
      </c>
      <c r="O130" s="241">
        <f t="shared" ref="O130:O161" si="4">SUM(K130:N130)</f>
        <v>79.5</v>
      </c>
      <c r="P130" s="241"/>
    </row>
    <row r="131" spans="1:16" ht="20.100000000000001" customHeight="1">
      <c r="A131" s="233">
        <v>130</v>
      </c>
      <c r="B131" s="240" t="s">
        <v>450</v>
      </c>
      <c r="C131" s="240"/>
      <c r="D131" s="240" t="s">
        <v>168</v>
      </c>
      <c r="E131" s="240" t="s">
        <v>79</v>
      </c>
      <c r="F131" s="240"/>
      <c r="G131" s="240" t="s">
        <v>25</v>
      </c>
      <c r="H131" s="240" t="s">
        <v>100</v>
      </c>
      <c r="I131" s="240" t="s">
        <v>86</v>
      </c>
      <c r="J131" s="240" t="s">
        <v>109</v>
      </c>
      <c r="K131" s="241">
        <v>15</v>
      </c>
      <c r="L131" s="241">
        <v>29</v>
      </c>
      <c r="M131" s="241">
        <v>21.75</v>
      </c>
      <c r="N131" s="241">
        <v>13.75</v>
      </c>
      <c r="O131" s="241">
        <f t="shared" si="4"/>
        <v>79.5</v>
      </c>
      <c r="P131" s="241"/>
    </row>
    <row r="132" spans="1:16" ht="20.100000000000001" customHeight="1">
      <c r="A132" s="233">
        <v>131</v>
      </c>
      <c r="B132" s="240" t="s">
        <v>1255</v>
      </c>
      <c r="C132" s="240"/>
      <c r="D132" s="240"/>
      <c r="E132" s="240" t="s">
        <v>128</v>
      </c>
      <c r="F132" s="240"/>
      <c r="G132" s="240" t="s">
        <v>26</v>
      </c>
      <c r="H132" s="240" t="s">
        <v>1237</v>
      </c>
      <c r="I132" s="240"/>
      <c r="J132" s="240"/>
      <c r="K132" s="240">
        <v>15</v>
      </c>
      <c r="L132" s="240">
        <v>28</v>
      </c>
      <c r="M132" s="240">
        <v>22.25</v>
      </c>
      <c r="N132" s="240">
        <v>14.25</v>
      </c>
      <c r="O132" s="240">
        <f t="shared" si="4"/>
        <v>79.5</v>
      </c>
      <c r="P132" s="240"/>
    </row>
    <row r="133" spans="1:16" ht="20.100000000000001" customHeight="1">
      <c r="A133" s="233">
        <v>132</v>
      </c>
      <c r="B133" s="240" t="s">
        <v>309</v>
      </c>
      <c r="C133" s="240"/>
      <c r="D133" s="240" t="s">
        <v>168</v>
      </c>
      <c r="E133" s="240" t="s">
        <v>79</v>
      </c>
      <c r="F133" s="240"/>
      <c r="G133" s="240" t="s">
        <v>25</v>
      </c>
      <c r="H133" s="240" t="s">
        <v>111</v>
      </c>
      <c r="I133" s="240" t="s">
        <v>83</v>
      </c>
      <c r="J133" s="240" t="s">
        <v>112</v>
      </c>
      <c r="K133" s="241">
        <v>15</v>
      </c>
      <c r="L133" s="241">
        <v>29</v>
      </c>
      <c r="M133" s="241">
        <v>21</v>
      </c>
      <c r="N133" s="241">
        <v>14.25</v>
      </c>
      <c r="O133" s="241">
        <f t="shared" si="4"/>
        <v>79.25</v>
      </c>
      <c r="P133" s="241"/>
    </row>
    <row r="134" spans="1:16" ht="20.25" customHeight="1">
      <c r="A134" s="233">
        <v>133</v>
      </c>
      <c r="B134" s="240" t="s">
        <v>333</v>
      </c>
      <c r="C134" s="240"/>
      <c r="D134" s="240" t="s">
        <v>168</v>
      </c>
      <c r="E134" s="240" t="s">
        <v>79</v>
      </c>
      <c r="F134" s="240"/>
      <c r="G134" s="240" t="s">
        <v>25</v>
      </c>
      <c r="H134" s="240" t="s">
        <v>87</v>
      </c>
      <c r="I134" s="240" t="s">
        <v>86</v>
      </c>
      <c r="J134" s="240" t="s">
        <v>109</v>
      </c>
      <c r="K134" s="241">
        <v>15</v>
      </c>
      <c r="L134" s="241">
        <v>29</v>
      </c>
      <c r="M134" s="241">
        <v>21.5</v>
      </c>
      <c r="N134" s="241">
        <v>13.5</v>
      </c>
      <c r="O134" s="241">
        <f t="shared" si="4"/>
        <v>79</v>
      </c>
      <c r="P134" s="241"/>
    </row>
    <row r="135" spans="1:16" ht="20.100000000000001" customHeight="1">
      <c r="A135" s="233">
        <v>134</v>
      </c>
      <c r="B135" s="240" t="s">
        <v>430</v>
      </c>
      <c r="C135" s="240"/>
      <c r="D135" s="240" t="s">
        <v>168</v>
      </c>
      <c r="E135" s="240" t="s">
        <v>79</v>
      </c>
      <c r="F135" s="240"/>
      <c r="G135" s="240" t="s">
        <v>259</v>
      </c>
      <c r="H135" s="240" t="s">
        <v>59</v>
      </c>
      <c r="I135" s="240" t="s">
        <v>136</v>
      </c>
      <c r="J135" s="240" t="s">
        <v>125</v>
      </c>
      <c r="K135" s="241">
        <v>15</v>
      </c>
      <c r="L135" s="241">
        <v>27</v>
      </c>
      <c r="M135" s="241">
        <v>21.5</v>
      </c>
      <c r="N135" s="241">
        <v>15</v>
      </c>
      <c r="O135" s="241">
        <f t="shared" si="4"/>
        <v>78.5</v>
      </c>
      <c r="P135" s="241"/>
    </row>
    <row r="136" spans="1:16" ht="20.100000000000001" customHeight="1">
      <c r="A136" s="233">
        <v>135</v>
      </c>
      <c r="B136" s="240" t="s">
        <v>321</v>
      </c>
      <c r="C136" s="240"/>
      <c r="D136" s="240" t="s">
        <v>168</v>
      </c>
      <c r="E136" s="240" t="s">
        <v>79</v>
      </c>
      <c r="F136" s="240"/>
      <c r="G136" s="240" t="s">
        <v>25</v>
      </c>
      <c r="H136" s="240" t="s">
        <v>113</v>
      </c>
      <c r="I136" s="240" t="s">
        <v>83</v>
      </c>
      <c r="J136" s="240" t="s">
        <v>112</v>
      </c>
      <c r="K136" s="241">
        <v>15</v>
      </c>
      <c r="L136" s="241">
        <v>28</v>
      </c>
      <c r="M136" s="241">
        <v>22</v>
      </c>
      <c r="N136" s="241">
        <v>13.5</v>
      </c>
      <c r="O136" s="241">
        <f t="shared" si="4"/>
        <v>78.5</v>
      </c>
      <c r="P136" s="241"/>
    </row>
    <row r="137" spans="1:16" ht="20.100000000000001" customHeight="1">
      <c r="A137" s="233">
        <v>136</v>
      </c>
      <c r="B137" s="240" t="s">
        <v>369</v>
      </c>
      <c r="C137" s="240"/>
      <c r="D137" s="240" t="s">
        <v>168</v>
      </c>
      <c r="E137" s="240" t="s">
        <v>79</v>
      </c>
      <c r="F137" s="240"/>
      <c r="G137" s="240" t="s">
        <v>25</v>
      </c>
      <c r="H137" s="240" t="s">
        <v>122</v>
      </c>
      <c r="I137" s="240" t="s">
        <v>86</v>
      </c>
      <c r="J137" s="240" t="s">
        <v>112</v>
      </c>
      <c r="K137" s="241">
        <v>15</v>
      </c>
      <c r="L137" s="241">
        <v>28</v>
      </c>
      <c r="M137" s="241">
        <v>22</v>
      </c>
      <c r="N137" s="241">
        <v>13.5</v>
      </c>
      <c r="O137" s="241">
        <f t="shared" si="4"/>
        <v>78.5</v>
      </c>
      <c r="P137" s="241"/>
    </row>
    <row r="138" spans="1:16" ht="20.100000000000001" customHeight="1">
      <c r="A138" s="233">
        <v>137</v>
      </c>
      <c r="B138" s="240" t="s">
        <v>345</v>
      </c>
      <c r="C138" s="240"/>
      <c r="D138" s="240" t="s">
        <v>168</v>
      </c>
      <c r="E138" s="240" t="s">
        <v>79</v>
      </c>
      <c r="F138" s="240"/>
      <c r="G138" s="240" t="s">
        <v>25</v>
      </c>
      <c r="H138" s="240" t="s">
        <v>56</v>
      </c>
      <c r="I138" s="240" t="s">
        <v>83</v>
      </c>
      <c r="J138" s="240" t="s">
        <v>112</v>
      </c>
      <c r="K138" s="241">
        <v>15</v>
      </c>
      <c r="L138" s="241">
        <v>29</v>
      </c>
      <c r="M138" s="241">
        <v>20.75</v>
      </c>
      <c r="N138" s="241">
        <v>13.25</v>
      </c>
      <c r="O138" s="241">
        <f t="shared" si="4"/>
        <v>78</v>
      </c>
      <c r="P138" s="241"/>
    </row>
    <row r="139" spans="1:16" ht="20.100000000000001" customHeight="1">
      <c r="A139" s="233">
        <v>138</v>
      </c>
      <c r="B139" s="240" t="s">
        <v>435</v>
      </c>
      <c r="C139" s="240"/>
      <c r="D139" s="240" t="s">
        <v>168</v>
      </c>
      <c r="E139" s="240" t="s">
        <v>79</v>
      </c>
      <c r="F139" s="240"/>
      <c r="G139" s="240" t="s">
        <v>25</v>
      </c>
      <c r="H139" s="240" t="s">
        <v>34</v>
      </c>
      <c r="I139" s="240" t="s">
        <v>153</v>
      </c>
      <c r="J139" s="240" t="s">
        <v>112</v>
      </c>
      <c r="K139" s="241">
        <v>15</v>
      </c>
      <c r="L139" s="241">
        <v>27</v>
      </c>
      <c r="M139" s="241">
        <v>22.5</v>
      </c>
      <c r="N139" s="241">
        <v>13.5</v>
      </c>
      <c r="O139" s="241">
        <f t="shared" si="4"/>
        <v>78</v>
      </c>
      <c r="P139" s="241"/>
    </row>
    <row r="140" spans="1:16" ht="20.100000000000001" customHeight="1">
      <c r="A140" s="233">
        <v>139</v>
      </c>
      <c r="B140" s="240" t="s">
        <v>481</v>
      </c>
      <c r="C140" s="240"/>
      <c r="D140" s="240" t="s">
        <v>168</v>
      </c>
      <c r="E140" s="240" t="s">
        <v>79</v>
      </c>
      <c r="F140" s="240"/>
      <c r="G140" s="240" t="s">
        <v>25</v>
      </c>
      <c r="H140" s="240" t="s">
        <v>71</v>
      </c>
      <c r="I140" s="240" t="s">
        <v>86</v>
      </c>
      <c r="J140" s="240" t="s">
        <v>112</v>
      </c>
      <c r="K140" s="240">
        <v>15</v>
      </c>
      <c r="L140" s="240">
        <v>29</v>
      </c>
      <c r="M140" s="240">
        <v>20.75</v>
      </c>
      <c r="N140" s="240">
        <v>13.25</v>
      </c>
      <c r="O140" s="241">
        <f t="shared" si="4"/>
        <v>78</v>
      </c>
      <c r="P140" s="240"/>
    </row>
    <row r="141" spans="1:16" ht="20.100000000000001" customHeight="1">
      <c r="A141" s="233">
        <v>140</v>
      </c>
      <c r="B141" s="240" t="s">
        <v>305</v>
      </c>
      <c r="C141" s="240"/>
      <c r="D141" s="240" t="s">
        <v>168</v>
      </c>
      <c r="E141" s="240" t="s">
        <v>79</v>
      </c>
      <c r="F141" s="240"/>
      <c r="G141" s="240" t="s">
        <v>25</v>
      </c>
      <c r="H141" s="240" t="s">
        <v>80</v>
      </c>
      <c r="I141" s="240"/>
      <c r="J141" s="240" t="s">
        <v>109</v>
      </c>
      <c r="K141" s="241">
        <v>15</v>
      </c>
      <c r="L141" s="241">
        <v>28</v>
      </c>
      <c r="M141" s="241">
        <v>21.5</v>
      </c>
      <c r="N141" s="241">
        <v>13.25</v>
      </c>
      <c r="O141" s="241">
        <f t="shared" si="4"/>
        <v>77.75</v>
      </c>
      <c r="P141" s="241"/>
    </row>
    <row r="142" spans="1:16" ht="20.100000000000001" customHeight="1">
      <c r="A142" s="233">
        <v>141</v>
      </c>
      <c r="B142" s="240" t="s">
        <v>401</v>
      </c>
      <c r="C142" s="240"/>
      <c r="D142" s="240" t="s">
        <v>168</v>
      </c>
      <c r="E142" s="240" t="s">
        <v>79</v>
      </c>
      <c r="F142" s="240"/>
      <c r="G142" s="240" t="s">
        <v>25</v>
      </c>
      <c r="H142" s="240" t="s">
        <v>53</v>
      </c>
      <c r="I142" s="240" t="s">
        <v>83</v>
      </c>
      <c r="J142" s="240" t="s">
        <v>112</v>
      </c>
      <c r="K142" s="241">
        <v>15</v>
      </c>
      <c r="L142" s="241">
        <v>27</v>
      </c>
      <c r="M142" s="241">
        <v>21.5</v>
      </c>
      <c r="N142" s="241">
        <v>14.25</v>
      </c>
      <c r="O142" s="241">
        <f t="shared" si="4"/>
        <v>77.75</v>
      </c>
      <c r="P142" s="241"/>
    </row>
    <row r="143" spans="1:16" ht="20.100000000000001" customHeight="1">
      <c r="A143" s="233">
        <v>142</v>
      </c>
      <c r="B143" s="240" t="s">
        <v>364</v>
      </c>
      <c r="C143" s="240"/>
      <c r="D143" s="240" t="s">
        <v>168</v>
      </c>
      <c r="E143" s="240" t="s">
        <v>79</v>
      </c>
      <c r="F143" s="240"/>
      <c r="G143" s="240" t="s">
        <v>25</v>
      </c>
      <c r="H143" s="240" t="s">
        <v>69</v>
      </c>
      <c r="I143" s="240" t="s">
        <v>83</v>
      </c>
      <c r="J143" s="240" t="s">
        <v>112</v>
      </c>
      <c r="K143" s="241">
        <v>15</v>
      </c>
      <c r="L143" s="241">
        <v>27</v>
      </c>
      <c r="M143" s="241">
        <v>21.75</v>
      </c>
      <c r="N143" s="241">
        <v>13.75</v>
      </c>
      <c r="O143" s="241">
        <f t="shared" si="4"/>
        <v>77.5</v>
      </c>
      <c r="P143" s="241"/>
    </row>
    <row r="144" spans="1:16" ht="20.100000000000001" customHeight="1">
      <c r="A144" s="233">
        <v>143</v>
      </c>
      <c r="B144" s="240" t="s">
        <v>355</v>
      </c>
      <c r="C144" s="240"/>
      <c r="D144" s="240" t="s">
        <v>168</v>
      </c>
      <c r="E144" s="240" t="s">
        <v>79</v>
      </c>
      <c r="F144" s="240"/>
      <c r="G144" s="240" t="s">
        <v>25</v>
      </c>
      <c r="H144" s="240" t="s">
        <v>72</v>
      </c>
      <c r="I144" s="240"/>
      <c r="J144" s="240" t="s">
        <v>109</v>
      </c>
      <c r="K144" s="241">
        <v>15</v>
      </c>
      <c r="L144" s="241">
        <v>28</v>
      </c>
      <c r="M144" s="241">
        <v>20.5</v>
      </c>
      <c r="N144" s="241">
        <v>13.75</v>
      </c>
      <c r="O144" s="241">
        <f t="shared" si="4"/>
        <v>77.25</v>
      </c>
      <c r="P144" s="241"/>
    </row>
    <row r="145" spans="1:16" ht="20.100000000000001" customHeight="1">
      <c r="A145" s="233">
        <v>144</v>
      </c>
      <c r="B145" s="240" t="s">
        <v>406</v>
      </c>
      <c r="C145" s="240"/>
      <c r="D145" s="240" t="s">
        <v>168</v>
      </c>
      <c r="E145" s="240" t="s">
        <v>79</v>
      </c>
      <c r="F145" s="240"/>
      <c r="G145" s="240" t="s">
        <v>67</v>
      </c>
      <c r="H145" s="240" t="s">
        <v>130</v>
      </c>
      <c r="I145" s="240" t="s">
        <v>81</v>
      </c>
      <c r="J145" s="240" t="s">
        <v>116</v>
      </c>
      <c r="K145" s="241">
        <v>15</v>
      </c>
      <c r="L145" s="241">
        <v>27</v>
      </c>
      <c r="M145" s="241">
        <v>21</v>
      </c>
      <c r="N145" s="241">
        <v>14</v>
      </c>
      <c r="O145" s="241">
        <f t="shared" si="4"/>
        <v>77</v>
      </c>
      <c r="P145" s="241"/>
    </row>
    <row r="146" spans="1:16" ht="20.100000000000001" customHeight="1">
      <c r="A146" s="233">
        <v>145</v>
      </c>
      <c r="B146" s="240" t="s">
        <v>384</v>
      </c>
      <c r="C146" s="240"/>
      <c r="D146" s="240" t="s">
        <v>168</v>
      </c>
      <c r="E146" s="240" t="s">
        <v>79</v>
      </c>
      <c r="F146" s="240"/>
      <c r="G146" s="240" t="s">
        <v>25</v>
      </c>
      <c r="H146" s="240" t="s">
        <v>65</v>
      </c>
      <c r="I146" s="240" t="s">
        <v>83</v>
      </c>
      <c r="J146" s="240" t="s">
        <v>112</v>
      </c>
      <c r="K146" s="241">
        <v>15</v>
      </c>
      <c r="L146" s="241">
        <v>27</v>
      </c>
      <c r="M146" s="241">
        <v>20.75</v>
      </c>
      <c r="N146" s="241">
        <v>14.25</v>
      </c>
      <c r="O146" s="241">
        <f t="shared" si="4"/>
        <v>77</v>
      </c>
      <c r="P146" s="241"/>
    </row>
    <row r="147" spans="1:16" ht="20.100000000000001" customHeight="1">
      <c r="A147" s="233">
        <v>146</v>
      </c>
      <c r="B147" s="240" t="s">
        <v>483</v>
      </c>
      <c r="C147" s="240"/>
      <c r="D147" s="240" t="s">
        <v>168</v>
      </c>
      <c r="E147" s="240" t="s">
        <v>79</v>
      </c>
      <c r="F147" s="240"/>
      <c r="G147" s="240" t="s">
        <v>25</v>
      </c>
      <c r="H147" s="240" t="s">
        <v>71</v>
      </c>
      <c r="I147" s="240" t="s">
        <v>83</v>
      </c>
      <c r="J147" s="240" t="s">
        <v>112</v>
      </c>
      <c r="K147" s="240">
        <v>15</v>
      </c>
      <c r="L147" s="240">
        <v>27</v>
      </c>
      <c r="M147" s="240">
        <v>20</v>
      </c>
      <c r="N147" s="240">
        <v>15</v>
      </c>
      <c r="O147" s="241">
        <f t="shared" si="4"/>
        <v>77</v>
      </c>
      <c r="P147" s="240"/>
    </row>
    <row r="148" spans="1:16" ht="20.100000000000001" customHeight="1">
      <c r="A148" s="233">
        <v>147</v>
      </c>
      <c r="B148" s="240" t="s">
        <v>349</v>
      </c>
      <c r="C148" s="240"/>
      <c r="D148" s="240" t="s">
        <v>168</v>
      </c>
      <c r="E148" s="240" t="s">
        <v>79</v>
      </c>
      <c r="F148" s="240"/>
      <c r="G148" s="240" t="s">
        <v>25</v>
      </c>
      <c r="H148" s="240" t="s">
        <v>196</v>
      </c>
      <c r="I148" s="240" t="s">
        <v>83</v>
      </c>
      <c r="J148" s="240" t="s">
        <v>109</v>
      </c>
      <c r="K148" s="241">
        <v>15</v>
      </c>
      <c r="L148" s="241">
        <v>27</v>
      </c>
      <c r="M148" s="241">
        <v>21</v>
      </c>
      <c r="N148" s="241">
        <v>13.75</v>
      </c>
      <c r="O148" s="241">
        <f t="shared" si="4"/>
        <v>76.75</v>
      </c>
      <c r="P148" s="241"/>
    </row>
    <row r="149" spans="1:16" ht="20.100000000000001" customHeight="1">
      <c r="A149" s="233">
        <v>148</v>
      </c>
      <c r="B149" s="240" t="s">
        <v>301</v>
      </c>
      <c r="C149" s="240"/>
      <c r="D149" s="240" t="s">
        <v>168</v>
      </c>
      <c r="E149" s="240" t="s">
        <v>79</v>
      </c>
      <c r="F149" s="240"/>
      <c r="G149" s="240" t="s">
        <v>25</v>
      </c>
      <c r="H149" s="240" t="s">
        <v>73</v>
      </c>
      <c r="I149" s="240" t="s">
        <v>83</v>
      </c>
      <c r="J149" s="240" t="s">
        <v>112</v>
      </c>
      <c r="K149" s="241">
        <v>15</v>
      </c>
      <c r="L149" s="241">
        <v>28</v>
      </c>
      <c r="M149" s="241">
        <v>20.75</v>
      </c>
      <c r="N149" s="241">
        <v>12.75</v>
      </c>
      <c r="O149" s="241">
        <f t="shared" si="4"/>
        <v>76.5</v>
      </c>
      <c r="P149" s="241"/>
    </row>
    <row r="150" spans="1:16" ht="20.100000000000001" customHeight="1">
      <c r="A150" s="233">
        <v>149</v>
      </c>
      <c r="B150" s="240" t="s">
        <v>344</v>
      </c>
      <c r="C150" s="240"/>
      <c r="D150" s="240" t="s">
        <v>168</v>
      </c>
      <c r="E150" s="240" t="s">
        <v>79</v>
      </c>
      <c r="F150" s="240"/>
      <c r="G150" s="240" t="s">
        <v>25</v>
      </c>
      <c r="H150" s="240" t="s">
        <v>56</v>
      </c>
      <c r="I150" s="240" t="s">
        <v>83</v>
      </c>
      <c r="J150" s="240" t="s">
        <v>112</v>
      </c>
      <c r="K150" s="241">
        <v>15</v>
      </c>
      <c r="L150" s="241">
        <v>27</v>
      </c>
      <c r="M150" s="241">
        <v>21</v>
      </c>
      <c r="N150" s="241">
        <v>13.5</v>
      </c>
      <c r="O150" s="241">
        <f t="shared" si="4"/>
        <v>76.5</v>
      </c>
      <c r="P150" s="241"/>
    </row>
    <row r="151" spans="1:16" ht="20.100000000000001" customHeight="1">
      <c r="A151" s="233">
        <v>150</v>
      </c>
      <c r="B151" s="240" t="s">
        <v>442</v>
      </c>
      <c r="C151" s="240"/>
      <c r="D151" s="240" t="s">
        <v>168</v>
      </c>
      <c r="E151" s="240" t="s">
        <v>79</v>
      </c>
      <c r="F151" s="240"/>
      <c r="G151" s="240" t="s">
        <v>25</v>
      </c>
      <c r="H151" s="240" t="s">
        <v>27</v>
      </c>
      <c r="I151" s="240" t="s">
        <v>86</v>
      </c>
      <c r="J151" s="240" t="s">
        <v>112</v>
      </c>
      <c r="K151" s="241">
        <v>13</v>
      </c>
      <c r="L151" s="241">
        <v>26</v>
      </c>
      <c r="M151" s="241">
        <v>23.5</v>
      </c>
      <c r="N151" s="241">
        <v>14</v>
      </c>
      <c r="O151" s="241">
        <f t="shared" si="4"/>
        <v>76.5</v>
      </c>
      <c r="P151" s="241" t="s">
        <v>910</v>
      </c>
    </row>
    <row r="152" spans="1:16" ht="20.100000000000001" customHeight="1">
      <c r="A152" s="233">
        <v>151</v>
      </c>
      <c r="B152" s="240" t="s">
        <v>407</v>
      </c>
      <c r="C152" s="240"/>
      <c r="D152" s="240" t="s">
        <v>168</v>
      </c>
      <c r="E152" s="240" t="s">
        <v>79</v>
      </c>
      <c r="F152" s="240"/>
      <c r="G152" s="240" t="s">
        <v>25</v>
      </c>
      <c r="H152" s="240" t="s">
        <v>130</v>
      </c>
      <c r="I152" s="240" t="s">
        <v>83</v>
      </c>
      <c r="J152" s="240" t="s">
        <v>116</v>
      </c>
      <c r="K152" s="241">
        <v>15</v>
      </c>
      <c r="L152" s="241">
        <v>27</v>
      </c>
      <c r="M152" s="241">
        <v>21</v>
      </c>
      <c r="N152" s="241">
        <v>13.25</v>
      </c>
      <c r="O152" s="241">
        <f t="shared" si="4"/>
        <v>76.25</v>
      </c>
      <c r="P152" s="241"/>
    </row>
    <row r="153" spans="1:16" ht="20.100000000000001" customHeight="1">
      <c r="A153" s="233">
        <v>152</v>
      </c>
      <c r="B153" s="240" t="s">
        <v>429</v>
      </c>
      <c r="C153" s="240"/>
      <c r="D153" s="240" t="s">
        <v>168</v>
      </c>
      <c r="E153" s="240" t="s">
        <v>79</v>
      </c>
      <c r="F153" s="240"/>
      <c r="G153" s="240" t="s">
        <v>25</v>
      </c>
      <c r="H153" s="240" t="s">
        <v>135</v>
      </c>
      <c r="I153" s="240" t="s">
        <v>83</v>
      </c>
      <c r="J153" s="240" t="s">
        <v>109</v>
      </c>
      <c r="K153" s="241">
        <v>15</v>
      </c>
      <c r="L153" s="241">
        <v>26</v>
      </c>
      <c r="M153" s="241">
        <v>21.25</v>
      </c>
      <c r="N153" s="241">
        <v>14</v>
      </c>
      <c r="O153" s="241">
        <f t="shared" si="4"/>
        <v>76.25</v>
      </c>
      <c r="P153" s="241"/>
    </row>
    <row r="154" spans="1:16" ht="20.100000000000001" customHeight="1">
      <c r="A154" s="233">
        <v>153</v>
      </c>
      <c r="B154" s="240" t="s">
        <v>487</v>
      </c>
      <c r="C154" s="240"/>
      <c r="D154" s="240" t="s">
        <v>168</v>
      </c>
      <c r="E154" s="240" t="s">
        <v>79</v>
      </c>
      <c r="F154" s="240"/>
      <c r="G154" s="240" t="s">
        <v>25</v>
      </c>
      <c r="H154" s="240" t="s">
        <v>75</v>
      </c>
      <c r="I154" s="240"/>
      <c r="J154" s="240" t="s">
        <v>112</v>
      </c>
      <c r="K154" s="240">
        <v>15</v>
      </c>
      <c r="L154" s="240">
        <v>25</v>
      </c>
      <c r="M154" s="240">
        <v>23.5</v>
      </c>
      <c r="N154" s="240">
        <v>12.75</v>
      </c>
      <c r="O154" s="241">
        <f t="shared" si="4"/>
        <v>76.25</v>
      </c>
      <c r="P154" s="240"/>
    </row>
    <row r="155" spans="1:16" ht="20.100000000000001" customHeight="1">
      <c r="A155" s="233">
        <v>154</v>
      </c>
      <c r="B155" s="240" t="s">
        <v>370</v>
      </c>
      <c r="C155" s="240"/>
      <c r="D155" s="240" t="s">
        <v>168</v>
      </c>
      <c r="E155" s="240" t="s">
        <v>79</v>
      </c>
      <c r="F155" s="240"/>
      <c r="G155" s="240" t="s">
        <v>25</v>
      </c>
      <c r="H155" s="240" t="s">
        <v>122</v>
      </c>
      <c r="I155" s="240" t="s">
        <v>83</v>
      </c>
      <c r="J155" s="240" t="s">
        <v>112</v>
      </c>
      <c r="K155" s="241">
        <v>15</v>
      </c>
      <c r="L155" s="241">
        <v>26</v>
      </c>
      <c r="M155" s="241">
        <v>21.5</v>
      </c>
      <c r="N155" s="241">
        <v>13.5</v>
      </c>
      <c r="O155" s="241">
        <f t="shared" si="4"/>
        <v>76</v>
      </c>
      <c r="P155" s="241"/>
    </row>
    <row r="156" spans="1:16" ht="20.100000000000001" customHeight="1">
      <c r="A156" s="233">
        <v>155</v>
      </c>
      <c r="B156" s="240" t="s">
        <v>469</v>
      </c>
      <c r="C156" s="240"/>
      <c r="D156" s="240" t="s">
        <v>168</v>
      </c>
      <c r="E156" s="240" t="s">
        <v>79</v>
      </c>
      <c r="F156" s="240"/>
      <c r="G156" s="240" t="s">
        <v>25</v>
      </c>
      <c r="H156" s="240" t="s">
        <v>58</v>
      </c>
      <c r="I156" s="240" t="s">
        <v>83</v>
      </c>
      <c r="J156" s="240" t="s">
        <v>109</v>
      </c>
      <c r="K156" s="240">
        <v>15</v>
      </c>
      <c r="L156" s="240">
        <v>26</v>
      </c>
      <c r="M156" s="240">
        <v>21</v>
      </c>
      <c r="N156" s="240">
        <v>14</v>
      </c>
      <c r="O156" s="241">
        <f t="shared" si="4"/>
        <v>76</v>
      </c>
      <c r="P156" s="240"/>
    </row>
    <row r="157" spans="1:16">
      <c r="A157" s="233">
        <v>156</v>
      </c>
      <c r="B157" s="240" t="s">
        <v>475</v>
      </c>
      <c r="C157" s="240"/>
      <c r="D157" s="240" t="s">
        <v>168</v>
      </c>
      <c r="E157" s="240" t="s">
        <v>103</v>
      </c>
      <c r="F157" s="240"/>
      <c r="G157" s="240" t="s">
        <v>67</v>
      </c>
      <c r="H157" s="240" t="s">
        <v>105</v>
      </c>
      <c r="I157" s="240" t="s">
        <v>96</v>
      </c>
      <c r="J157" s="240" t="s">
        <v>112</v>
      </c>
      <c r="K157" s="240">
        <v>15</v>
      </c>
      <c r="L157" s="240">
        <v>27</v>
      </c>
      <c r="M157" s="240">
        <v>20.75</v>
      </c>
      <c r="N157" s="240">
        <v>13</v>
      </c>
      <c r="O157" s="241">
        <f t="shared" si="4"/>
        <v>75.75</v>
      </c>
      <c r="P157" s="240"/>
    </row>
    <row r="158" spans="1:16">
      <c r="A158" s="233">
        <v>157</v>
      </c>
      <c r="B158" s="240" t="s">
        <v>230</v>
      </c>
      <c r="C158" s="240"/>
      <c r="D158" s="240" t="s">
        <v>168</v>
      </c>
      <c r="E158" s="240" t="s">
        <v>129</v>
      </c>
      <c r="F158" s="240"/>
      <c r="G158" s="240" t="s">
        <v>231</v>
      </c>
      <c r="H158" s="240" t="s">
        <v>64</v>
      </c>
      <c r="I158" s="240" t="s">
        <v>96</v>
      </c>
      <c r="J158" s="240"/>
      <c r="K158" s="241">
        <v>15</v>
      </c>
      <c r="L158" s="241">
        <v>27</v>
      </c>
      <c r="M158" s="241">
        <v>21.5</v>
      </c>
      <c r="N158" s="241">
        <v>12.25</v>
      </c>
      <c r="O158" s="241">
        <f t="shared" si="4"/>
        <v>75.75</v>
      </c>
      <c r="P158" s="241"/>
    </row>
    <row r="159" spans="1:16">
      <c r="A159" s="233">
        <v>158</v>
      </c>
      <c r="B159" s="240" t="s">
        <v>412</v>
      </c>
      <c r="C159" s="240"/>
      <c r="D159" s="240" t="s">
        <v>168</v>
      </c>
      <c r="E159" s="240" t="s">
        <v>79</v>
      </c>
      <c r="F159" s="240"/>
      <c r="G159" s="240" t="s">
        <v>25</v>
      </c>
      <c r="H159" s="240" t="s">
        <v>61</v>
      </c>
      <c r="I159" s="240" t="s">
        <v>83</v>
      </c>
      <c r="J159" s="240" t="s">
        <v>112</v>
      </c>
      <c r="K159" s="241">
        <v>15</v>
      </c>
      <c r="L159" s="241">
        <v>27</v>
      </c>
      <c r="M159" s="241">
        <v>20.75</v>
      </c>
      <c r="N159" s="241">
        <v>13</v>
      </c>
      <c r="O159" s="241">
        <f t="shared" si="4"/>
        <v>75.75</v>
      </c>
      <c r="P159" s="241"/>
    </row>
    <row r="160" spans="1:16">
      <c r="A160" s="233">
        <v>159</v>
      </c>
      <c r="B160" s="240" t="s">
        <v>388</v>
      </c>
      <c r="C160" s="240"/>
      <c r="D160" s="240" t="s">
        <v>168</v>
      </c>
      <c r="E160" s="240" t="s">
        <v>79</v>
      </c>
      <c r="F160" s="240"/>
      <c r="G160" s="240" t="s">
        <v>25</v>
      </c>
      <c r="H160" s="240" t="s">
        <v>28</v>
      </c>
      <c r="I160" s="240" t="s">
        <v>83</v>
      </c>
      <c r="J160" s="240" t="s">
        <v>109</v>
      </c>
      <c r="K160" s="241">
        <v>15</v>
      </c>
      <c r="L160" s="241">
        <v>26</v>
      </c>
      <c r="M160" s="241">
        <v>21</v>
      </c>
      <c r="N160" s="241">
        <v>12.75</v>
      </c>
      <c r="O160" s="241">
        <f t="shared" si="4"/>
        <v>74.75</v>
      </c>
      <c r="P160" s="241"/>
    </row>
    <row r="161" spans="1:16">
      <c r="A161" s="233">
        <v>160</v>
      </c>
      <c r="B161" s="240" t="s">
        <v>445</v>
      </c>
      <c r="C161" s="240"/>
      <c r="D161" s="240" t="s">
        <v>168</v>
      </c>
      <c r="E161" s="240" t="s">
        <v>79</v>
      </c>
      <c r="F161" s="240"/>
      <c r="G161" s="240" t="s">
        <v>25</v>
      </c>
      <c r="H161" s="240" t="s">
        <v>270</v>
      </c>
      <c r="I161" s="240" t="s">
        <v>83</v>
      </c>
      <c r="J161" s="240" t="s">
        <v>109</v>
      </c>
      <c r="K161" s="241">
        <v>15</v>
      </c>
      <c r="L161" s="241">
        <v>26</v>
      </c>
      <c r="M161" s="241">
        <v>21.25</v>
      </c>
      <c r="N161" s="241">
        <v>12</v>
      </c>
      <c r="O161" s="241">
        <f t="shared" si="4"/>
        <v>74.25</v>
      </c>
      <c r="P161" s="241"/>
    </row>
    <row r="162" spans="1:16">
      <c r="A162" s="233">
        <v>161</v>
      </c>
      <c r="B162" s="240" t="s">
        <v>455</v>
      </c>
      <c r="C162" s="240"/>
      <c r="D162" s="240" t="s">
        <v>168</v>
      </c>
      <c r="E162" s="240" t="s">
        <v>79</v>
      </c>
      <c r="F162" s="240"/>
      <c r="G162" s="240" t="s">
        <v>25</v>
      </c>
      <c r="H162" s="240" t="s">
        <v>159</v>
      </c>
      <c r="I162" s="240" t="s">
        <v>240</v>
      </c>
      <c r="J162" s="240" t="s">
        <v>109</v>
      </c>
      <c r="K162" s="241">
        <v>15</v>
      </c>
      <c r="L162" s="241">
        <v>24</v>
      </c>
      <c r="M162" s="241">
        <v>21.5</v>
      </c>
      <c r="N162" s="241">
        <v>13.75</v>
      </c>
      <c r="O162" s="241">
        <f t="shared" ref="O162:O190" si="5">SUM(K162:N162)</f>
        <v>74.25</v>
      </c>
      <c r="P162" s="241"/>
    </row>
    <row r="163" spans="1:16">
      <c r="A163" s="233">
        <v>162</v>
      </c>
      <c r="B163" s="240" t="s">
        <v>1253</v>
      </c>
      <c r="C163" s="240"/>
      <c r="D163" s="240"/>
      <c r="E163" s="240"/>
      <c r="F163" s="240"/>
      <c r="G163" s="240" t="s">
        <v>26</v>
      </c>
      <c r="H163" s="240" t="s">
        <v>1191</v>
      </c>
      <c r="I163" s="240"/>
      <c r="J163" s="240"/>
      <c r="K163" s="240">
        <v>14</v>
      </c>
      <c r="L163" s="240">
        <v>26</v>
      </c>
      <c r="M163" s="240">
        <v>21.5</v>
      </c>
      <c r="N163" s="240">
        <v>12.75</v>
      </c>
      <c r="O163" s="240">
        <f t="shared" si="5"/>
        <v>74.25</v>
      </c>
      <c r="P163" s="240" t="s">
        <v>1254</v>
      </c>
    </row>
    <row r="164" spans="1:16">
      <c r="A164" s="233">
        <v>163</v>
      </c>
      <c r="B164" s="240" t="s">
        <v>306</v>
      </c>
      <c r="C164" s="240"/>
      <c r="D164" s="240" t="s">
        <v>168</v>
      </c>
      <c r="E164" s="240" t="s">
        <v>79</v>
      </c>
      <c r="F164" s="240"/>
      <c r="G164" s="240" t="s">
        <v>25</v>
      </c>
      <c r="H164" s="240" t="s">
        <v>80</v>
      </c>
      <c r="I164" s="240" t="s">
        <v>119</v>
      </c>
      <c r="J164" s="240" t="s">
        <v>109</v>
      </c>
      <c r="K164" s="241">
        <v>15</v>
      </c>
      <c r="L164" s="241">
        <v>27</v>
      </c>
      <c r="M164" s="241">
        <v>19</v>
      </c>
      <c r="N164" s="241">
        <v>13</v>
      </c>
      <c r="O164" s="241">
        <f t="shared" si="5"/>
        <v>74</v>
      </c>
      <c r="P164" s="241"/>
    </row>
    <row r="165" spans="1:16">
      <c r="A165" s="233">
        <v>164</v>
      </c>
      <c r="B165" s="240" t="s">
        <v>440</v>
      </c>
      <c r="C165" s="240"/>
      <c r="D165" s="240" t="s">
        <v>168</v>
      </c>
      <c r="E165" s="240" t="s">
        <v>79</v>
      </c>
      <c r="F165" s="240"/>
      <c r="G165" s="240" t="s">
        <v>25</v>
      </c>
      <c r="H165" s="240" t="s">
        <v>55</v>
      </c>
      <c r="I165" s="240" t="s">
        <v>83</v>
      </c>
      <c r="J165" s="240" t="s">
        <v>112</v>
      </c>
      <c r="K165" s="241">
        <v>15</v>
      </c>
      <c r="L165" s="241">
        <v>25</v>
      </c>
      <c r="M165" s="241">
        <v>20.5</v>
      </c>
      <c r="N165" s="241">
        <v>13.5</v>
      </c>
      <c r="O165" s="241">
        <f t="shared" si="5"/>
        <v>74</v>
      </c>
      <c r="P165" s="241"/>
    </row>
    <row r="166" spans="1:16">
      <c r="A166" s="233">
        <v>165</v>
      </c>
      <c r="B166" s="240" t="s">
        <v>451</v>
      </c>
      <c r="C166" s="240"/>
      <c r="D166" s="240" t="s">
        <v>168</v>
      </c>
      <c r="E166" s="240" t="s">
        <v>79</v>
      </c>
      <c r="F166" s="240"/>
      <c r="G166" s="240" t="s">
        <v>25</v>
      </c>
      <c r="H166" s="240" t="s">
        <v>100</v>
      </c>
      <c r="I166" s="240" t="s">
        <v>86</v>
      </c>
      <c r="J166" s="240" t="s">
        <v>109</v>
      </c>
      <c r="K166" s="241">
        <v>15</v>
      </c>
      <c r="L166" s="241">
        <v>25</v>
      </c>
      <c r="M166" s="241">
        <v>21</v>
      </c>
      <c r="N166" s="241">
        <v>13</v>
      </c>
      <c r="O166" s="241">
        <f t="shared" si="5"/>
        <v>74</v>
      </c>
      <c r="P166" s="241"/>
    </row>
    <row r="167" spans="1:16">
      <c r="A167" s="233">
        <v>166</v>
      </c>
      <c r="B167" s="240" t="s">
        <v>336</v>
      </c>
      <c r="C167" s="240"/>
      <c r="D167" s="240" t="s">
        <v>168</v>
      </c>
      <c r="E167" s="240" t="s">
        <v>79</v>
      </c>
      <c r="F167" s="240"/>
      <c r="G167" s="240" t="s">
        <v>25</v>
      </c>
      <c r="H167" s="240" t="s">
        <v>87</v>
      </c>
      <c r="I167" s="240" t="s">
        <v>86</v>
      </c>
      <c r="J167" s="240" t="s">
        <v>109</v>
      </c>
      <c r="K167" s="241">
        <v>15</v>
      </c>
      <c r="L167" s="241">
        <v>25</v>
      </c>
      <c r="M167" s="241">
        <v>20.25</v>
      </c>
      <c r="N167" s="241">
        <v>13.5</v>
      </c>
      <c r="O167" s="241">
        <f t="shared" si="5"/>
        <v>73.75</v>
      </c>
      <c r="P167" s="241" t="s">
        <v>1228</v>
      </c>
    </row>
    <row r="168" spans="1:16">
      <c r="A168" s="233">
        <v>167</v>
      </c>
      <c r="B168" s="240" t="s">
        <v>426</v>
      </c>
      <c r="C168" s="240"/>
      <c r="D168" s="240" t="s">
        <v>168</v>
      </c>
      <c r="E168" s="240" t="s">
        <v>79</v>
      </c>
      <c r="F168" s="240"/>
      <c r="G168" s="240" t="s">
        <v>25</v>
      </c>
      <c r="H168" s="240" t="s">
        <v>60</v>
      </c>
      <c r="I168" s="240" t="s">
        <v>83</v>
      </c>
      <c r="J168" s="240" t="s">
        <v>112</v>
      </c>
      <c r="K168" s="241">
        <v>15</v>
      </c>
      <c r="L168" s="241">
        <v>25</v>
      </c>
      <c r="M168" s="241">
        <v>20.5</v>
      </c>
      <c r="N168" s="241">
        <v>13</v>
      </c>
      <c r="O168" s="241">
        <f t="shared" si="5"/>
        <v>73.5</v>
      </c>
      <c r="P168" s="241"/>
    </row>
    <row r="169" spans="1:16">
      <c r="A169" s="233">
        <v>168</v>
      </c>
      <c r="B169" s="240" t="s">
        <v>437</v>
      </c>
      <c r="C169" s="240"/>
      <c r="D169" s="240" t="s">
        <v>168</v>
      </c>
      <c r="E169" s="240" t="s">
        <v>79</v>
      </c>
      <c r="F169" s="240"/>
      <c r="G169" s="240" t="s">
        <v>25</v>
      </c>
      <c r="H169" s="240" t="s">
        <v>99</v>
      </c>
      <c r="I169" s="240" t="s">
        <v>83</v>
      </c>
      <c r="J169" s="240" t="s">
        <v>109</v>
      </c>
      <c r="K169" s="241">
        <v>15</v>
      </c>
      <c r="L169" s="241">
        <v>25</v>
      </c>
      <c r="M169" s="241">
        <v>20.75</v>
      </c>
      <c r="N169" s="241">
        <v>12</v>
      </c>
      <c r="O169" s="241">
        <f t="shared" si="5"/>
        <v>72.75</v>
      </c>
      <c r="P169" s="241"/>
    </row>
    <row r="170" spans="1:16">
      <c r="A170" s="233">
        <v>169</v>
      </c>
      <c r="B170" s="240" t="s">
        <v>452</v>
      </c>
      <c r="C170" s="240"/>
      <c r="D170" s="240" t="s">
        <v>168</v>
      </c>
      <c r="E170" s="240" t="s">
        <v>79</v>
      </c>
      <c r="F170" s="240"/>
      <c r="G170" s="240" t="s">
        <v>25</v>
      </c>
      <c r="H170" s="240" t="s">
        <v>137</v>
      </c>
      <c r="I170" s="240" t="s">
        <v>83</v>
      </c>
      <c r="J170" s="240" t="s">
        <v>138</v>
      </c>
      <c r="K170" s="241">
        <v>15</v>
      </c>
      <c r="L170" s="241">
        <v>24</v>
      </c>
      <c r="M170" s="241">
        <v>20</v>
      </c>
      <c r="N170" s="241">
        <v>13.75</v>
      </c>
      <c r="O170" s="241">
        <f t="shared" si="5"/>
        <v>72.75</v>
      </c>
      <c r="P170" s="241"/>
    </row>
    <row r="171" spans="1:16">
      <c r="A171" s="233">
        <v>170</v>
      </c>
      <c r="B171" s="240" t="s">
        <v>327</v>
      </c>
      <c r="C171" s="240"/>
      <c r="D171" s="240" t="s">
        <v>168</v>
      </c>
      <c r="E171" s="240" t="s">
        <v>79</v>
      </c>
      <c r="F171" s="240"/>
      <c r="G171" s="240" t="s">
        <v>25</v>
      </c>
      <c r="H171" s="240" t="s">
        <v>182</v>
      </c>
      <c r="I171" s="240" t="s">
        <v>86</v>
      </c>
      <c r="J171" s="240" t="s">
        <v>125</v>
      </c>
      <c r="K171" s="241">
        <v>15</v>
      </c>
      <c r="L171" s="241">
        <v>25</v>
      </c>
      <c r="M171" s="241">
        <v>20.5</v>
      </c>
      <c r="N171" s="241">
        <v>12</v>
      </c>
      <c r="O171" s="241">
        <f t="shared" si="5"/>
        <v>72.5</v>
      </c>
      <c r="P171" s="241"/>
    </row>
    <row r="172" spans="1:16">
      <c r="A172" s="233">
        <v>171</v>
      </c>
      <c r="B172" s="240" t="s">
        <v>376</v>
      </c>
      <c r="C172" s="240"/>
      <c r="D172" s="240" t="s">
        <v>168</v>
      </c>
      <c r="E172" s="240" t="s">
        <v>79</v>
      </c>
      <c r="F172" s="240"/>
      <c r="G172" s="240" t="s">
        <v>25</v>
      </c>
      <c r="H172" s="240" t="s">
        <v>124</v>
      </c>
      <c r="I172" s="240" t="s">
        <v>83</v>
      </c>
      <c r="J172" s="240" t="s">
        <v>116</v>
      </c>
      <c r="K172" s="241">
        <v>15</v>
      </c>
      <c r="L172" s="241">
        <v>23</v>
      </c>
      <c r="M172" s="241">
        <v>21.5</v>
      </c>
      <c r="N172" s="241">
        <v>12.5</v>
      </c>
      <c r="O172" s="241">
        <f t="shared" si="5"/>
        <v>72</v>
      </c>
      <c r="P172" s="241"/>
    </row>
    <row r="173" spans="1:16">
      <c r="A173" s="233">
        <v>172</v>
      </c>
      <c r="B173" s="240" t="s">
        <v>394</v>
      </c>
      <c r="C173" s="240"/>
      <c r="D173" s="240" t="s">
        <v>168</v>
      </c>
      <c r="E173" s="240" t="s">
        <v>79</v>
      </c>
      <c r="F173" s="240"/>
      <c r="G173" s="240" t="s">
        <v>25</v>
      </c>
      <c r="H173" s="240" t="s">
        <v>30</v>
      </c>
      <c r="I173" s="240" t="s">
        <v>83</v>
      </c>
      <c r="J173" s="240" t="s">
        <v>109</v>
      </c>
      <c r="K173" s="241">
        <v>15</v>
      </c>
      <c r="L173" s="241">
        <v>22</v>
      </c>
      <c r="M173" s="241">
        <v>20.5</v>
      </c>
      <c r="N173" s="241">
        <v>14.5</v>
      </c>
      <c r="O173" s="241">
        <f t="shared" si="5"/>
        <v>72</v>
      </c>
      <c r="P173" s="241"/>
    </row>
    <row r="174" spans="1:16">
      <c r="A174" s="233">
        <v>173</v>
      </c>
      <c r="B174" s="240" t="s">
        <v>421</v>
      </c>
      <c r="C174" s="240"/>
      <c r="D174" s="240" t="s">
        <v>168</v>
      </c>
      <c r="E174" s="240" t="s">
        <v>79</v>
      </c>
      <c r="F174" s="240"/>
      <c r="G174" s="240" t="s">
        <v>95</v>
      </c>
      <c r="H174" s="240" t="s">
        <v>52</v>
      </c>
      <c r="I174" s="240" t="s">
        <v>96</v>
      </c>
      <c r="J174" s="240" t="s">
        <v>112</v>
      </c>
      <c r="K174" s="241">
        <v>15</v>
      </c>
      <c r="L174" s="241">
        <v>25</v>
      </c>
      <c r="M174" s="241">
        <v>20.5</v>
      </c>
      <c r="N174" s="241">
        <v>11.5</v>
      </c>
      <c r="O174" s="241">
        <f t="shared" si="5"/>
        <v>72</v>
      </c>
      <c r="P174" s="241"/>
    </row>
    <row r="175" spans="1:16">
      <c r="A175" s="233">
        <v>174</v>
      </c>
      <c r="B175" s="240" t="s">
        <v>422</v>
      </c>
      <c r="C175" s="240"/>
      <c r="D175" s="240" t="s">
        <v>168</v>
      </c>
      <c r="E175" s="240" t="s">
        <v>79</v>
      </c>
      <c r="F175" s="240"/>
      <c r="G175" s="240" t="s">
        <v>95</v>
      </c>
      <c r="H175" s="240" t="s">
        <v>52</v>
      </c>
      <c r="I175" s="240" t="s">
        <v>102</v>
      </c>
      <c r="J175" s="240" t="s">
        <v>112</v>
      </c>
      <c r="K175" s="241">
        <v>13</v>
      </c>
      <c r="L175" s="241">
        <v>25</v>
      </c>
      <c r="M175" s="241">
        <v>21</v>
      </c>
      <c r="N175" s="241">
        <v>13</v>
      </c>
      <c r="O175" s="241">
        <f t="shared" si="5"/>
        <v>72</v>
      </c>
      <c r="P175" s="241"/>
    </row>
    <row r="176" spans="1:16">
      <c r="A176" s="233">
        <v>175</v>
      </c>
      <c r="B176" s="240" t="s">
        <v>414</v>
      </c>
      <c r="C176" s="240"/>
      <c r="D176" s="240" t="s">
        <v>168</v>
      </c>
      <c r="E176" s="240" t="s">
        <v>79</v>
      </c>
      <c r="F176" s="240"/>
      <c r="G176" s="240" t="s">
        <v>25</v>
      </c>
      <c r="H176" s="240" t="s">
        <v>61</v>
      </c>
      <c r="I176" s="240" t="s">
        <v>83</v>
      </c>
      <c r="J176" s="240" t="s">
        <v>112</v>
      </c>
      <c r="K176" s="241">
        <v>15</v>
      </c>
      <c r="L176" s="241">
        <v>23</v>
      </c>
      <c r="M176" s="241">
        <v>21</v>
      </c>
      <c r="N176" s="241">
        <v>12.75</v>
      </c>
      <c r="O176" s="241">
        <f t="shared" si="5"/>
        <v>71.75</v>
      </c>
      <c r="P176" s="241"/>
    </row>
    <row r="177" spans="1:16">
      <c r="A177" s="233">
        <v>176</v>
      </c>
      <c r="B177" s="240" t="s">
        <v>453</v>
      </c>
      <c r="C177" s="240"/>
      <c r="D177" s="240" t="s">
        <v>168</v>
      </c>
      <c r="E177" s="240" t="s">
        <v>79</v>
      </c>
      <c r="F177" s="240"/>
      <c r="G177" s="240" t="s">
        <v>25</v>
      </c>
      <c r="H177" s="240" t="s">
        <v>137</v>
      </c>
      <c r="I177" s="240" t="s">
        <v>83</v>
      </c>
      <c r="J177" s="240" t="s">
        <v>138</v>
      </c>
      <c r="K177" s="241">
        <v>15</v>
      </c>
      <c r="L177" s="241">
        <v>23</v>
      </c>
      <c r="M177" s="241">
        <v>20</v>
      </c>
      <c r="N177" s="241">
        <v>12.75</v>
      </c>
      <c r="O177" s="241">
        <f t="shared" si="5"/>
        <v>70.75</v>
      </c>
      <c r="P177" s="241"/>
    </row>
    <row r="178" spans="1:16">
      <c r="A178" s="233">
        <v>177</v>
      </c>
      <c r="B178" s="240" t="s">
        <v>377</v>
      </c>
      <c r="C178" s="240"/>
      <c r="D178" s="240" t="s">
        <v>190</v>
      </c>
      <c r="E178" s="240" t="s">
        <v>103</v>
      </c>
      <c r="F178" s="240"/>
      <c r="G178" s="240" t="s">
        <v>104</v>
      </c>
      <c r="H178" s="240" t="s">
        <v>66</v>
      </c>
      <c r="I178" s="240" t="s">
        <v>153</v>
      </c>
      <c r="J178" s="240" t="s">
        <v>125</v>
      </c>
      <c r="K178" s="241">
        <v>15</v>
      </c>
      <c r="L178" s="241">
        <v>22</v>
      </c>
      <c r="M178" s="241">
        <v>21</v>
      </c>
      <c r="N178" s="241">
        <v>12.75</v>
      </c>
      <c r="O178" s="241">
        <f t="shared" si="5"/>
        <v>70.75</v>
      </c>
      <c r="P178" s="241"/>
    </row>
    <row r="179" spans="1:16">
      <c r="A179" s="233">
        <v>178</v>
      </c>
      <c r="B179" s="240" t="s">
        <v>393</v>
      </c>
      <c r="C179" s="240"/>
      <c r="D179" s="240" t="s">
        <v>168</v>
      </c>
      <c r="E179" s="240" t="s">
        <v>79</v>
      </c>
      <c r="F179" s="240"/>
      <c r="G179" s="240" t="s">
        <v>25</v>
      </c>
      <c r="H179" s="240" t="s">
        <v>30</v>
      </c>
      <c r="I179" s="240" t="s">
        <v>83</v>
      </c>
      <c r="J179" s="240" t="s">
        <v>109</v>
      </c>
      <c r="K179" s="241">
        <v>15</v>
      </c>
      <c r="L179" s="241">
        <v>20</v>
      </c>
      <c r="M179" s="241">
        <v>21.75</v>
      </c>
      <c r="N179" s="241">
        <v>13.75</v>
      </c>
      <c r="O179" s="241">
        <f t="shared" si="5"/>
        <v>70.5</v>
      </c>
      <c r="P179" s="241"/>
    </row>
    <row r="180" spans="1:16">
      <c r="A180" s="233">
        <v>179</v>
      </c>
      <c r="B180" s="240" t="s">
        <v>342</v>
      </c>
      <c r="C180" s="240"/>
      <c r="D180" s="240" t="s">
        <v>168</v>
      </c>
      <c r="E180" s="240" t="s">
        <v>79</v>
      </c>
      <c r="F180" s="240"/>
      <c r="G180" s="240" t="s">
        <v>25</v>
      </c>
      <c r="H180" s="240" t="s">
        <v>78</v>
      </c>
      <c r="I180" s="240" t="s">
        <v>83</v>
      </c>
      <c r="J180" s="240" t="s">
        <v>112</v>
      </c>
      <c r="K180" s="241">
        <v>15</v>
      </c>
      <c r="L180" s="241">
        <v>20</v>
      </c>
      <c r="M180" s="241">
        <v>20</v>
      </c>
      <c r="N180" s="241">
        <v>12.5</v>
      </c>
      <c r="O180" s="241">
        <f t="shared" si="5"/>
        <v>67.5</v>
      </c>
      <c r="P180" s="241"/>
    </row>
    <row r="181" spans="1:16">
      <c r="A181" s="233">
        <v>180</v>
      </c>
      <c r="B181" s="240" t="s">
        <v>443</v>
      </c>
      <c r="C181" s="240"/>
      <c r="D181" s="240" t="s">
        <v>168</v>
      </c>
      <c r="E181" s="240" t="s">
        <v>79</v>
      </c>
      <c r="F181" s="240"/>
      <c r="G181" s="240" t="s">
        <v>25</v>
      </c>
      <c r="H181" s="240" t="s">
        <v>27</v>
      </c>
      <c r="I181" s="240" t="s">
        <v>83</v>
      </c>
      <c r="J181" s="240" t="s">
        <v>112</v>
      </c>
      <c r="K181" s="241">
        <v>13</v>
      </c>
      <c r="L181" s="241">
        <v>22</v>
      </c>
      <c r="M181" s="241">
        <v>20.75</v>
      </c>
      <c r="N181" s="241">
        <v>11.5</v>
      </c>
      <c r="O181" s="241">
        <f t="shared" si="5"/>
        <v>67.25</v>
      </c>
      <c r="P181" s="241" t="s">
        <v>918</v>
      </c>
    </row>
    <row r="182" spans="1:16">
      <c r="A182" s="233">
        <v>181</v>
      </c>
      <c r="B182" s="240" t="s">
        <v>1257</v>
      </c>
      <c r="C182" s="240"/>
      <c r="D182" s="240"/>
      <c r="E182" s="240"/>
      <c r="F182" s="240"/>
      <c r="G182" s="240" t="s">
        <v>24</v>
      </c>
      <c r="H182" s="240" t="s">
        <v>1244</v>
      </c>
      <c r="I182" s="240"/>
      <c r="J182" s="240"/>
      <c r="K182" s="240">
        <v>15</v>
      </c>
      <c r="L182" s="240">
        <v>28</v>
      </c>
      <c r="M182" s="240">
        <v>21</v>
      </c>
      <c r="N182" s="240">
        <v>0</v>
      </c>
      <c r="O182" s="240">
        <f t="shared" si="5"/>
        <v>64</v>
      </c>
      <c r="P182" s="240" t="s">
        <v>1266</v>
      </c>
    </row>
    <row r="183" spans="1:16">
      <c r="A183" s="233">
        <v>182</v>
      </c>
      <c r="B183" s="240" t="s">
        <v>1252</v>
      </c>
      <c r="C183" s="240"/>
      <c r="D183" s="240" t="s">
        <v>168</v>
      </c>
      <c r="E183" s="240" t="s">
        <v>79</v>
      </c>
      <c r="F183" s="240"/>
      <c r="G183" s="240" t="s">
        <v>25</v>
      </c>
      <c r="H183" s="240" t="s">
        <v>1244</v>
      </c>
      <c r="I183" s="240"/>
      <c r="J183" s="240"/>
      <c r="K183" s="240">
        <v>15</v>
      </c>
      <c r="L183" s="240">
        <v>27</v>
      </c>
      <c r="M183" s="240">
        <v>21</v>
      </c>
      <c r="N183" s="240">
        <v>0</v>
      </c>
      <c r="O183" s="240">
        <f t="shared" si="5"/>
        <v>63</v>
      </c>
      <c r="P183" s="240" t="s">
        <v>910</v>
      </c>
    </row>
    <row r="184" spans="1:16">
      <c r="A184" s="233">
        <v>183</v>
      </c>
      <c r="B184" s="240" t="s">
        <v>368</v>
      </c>
      <c r="C184" s="240"/>
      <c r="D184" s="240" t="s">
        <v>168</v>
      </c>
      <c r="E184" s="240" t="s">
        <v>79</v>
      </c>
      <c r="F184" s="240"/>
      <c r="G184" s="240" t="s">
        <v>25</v>
      </c>
      <c r="H184" s="240" t="s">
        <v>68</v>
      </c>
      <c r="I184" s="240" t="s">
        <v>83</v>
      </c>
      <c r="J184" s="240" t="s">
        <v>112</v>
      </c>
      <c r="K184" s="241">
        <v>15</v>
      </c>
      <c r="L184" s="241">
        <v>27</v>
      </c>
      <c r="M184" s="241">
        <v>20.25</v>
      </c>
      <c r="N184" s="241" t="s">
        <v>917</v>
      </c>
      <c r="O184" s="241">
        <f t="shared" si="5"/>
        <v>62.25</v>
      </c>
      <c r="P184" s="241" t="s">
        <v>920</v>
      </c>
    </row>
    <row r="185" spans="1:16">
      <c r="A185" s="233">
        <v>184</v>
      </c>
      <c r="B185" s="240" t="s">
        <v>390</v>
      </c>
      <c r="C185" s="240"/>
      <c r="D185" s="240" t="s">
        <v>223</v>
      </c>
      <c r="E185" s="240" t="s">
        <v>79</v>
      </c>
      <c r="F185" s="240"/>
      <c r="G185" s="240" t="s">
        <v>25</v>
      </c>
      <c r="H185" s="240" t="s">
        <v>90</v>
      </c>
      <c r="I185" s="240" t="s">
        <v>83</v>
      </c>
      <c r="J185" s="240" t="s">
        <v>109</v>
      </c>
      <c r="K185" s="241">
        <v>15</v>
      </c>
      <c r="L185" s="241">
        <v>25</v>
      </c>
      <c r="M185" s="241">
        <v>21</v>
      </c>
      <c r="N185" s="241" t="s">
        <v>916</v>
      </c>
      <c r="O185" s="241">
        <f t="shared" si="5"/>
        <v>61</v>
      </c>
      <c r="P185" s="241" t="s">
        <v>910</v>
      </c>
    </row>
    <row r="186" spans="1:16">
      <c r="A186" s="233">
        <v>185</v>
      </c>
      <c r="B186" s="240" t="s">
        <v>340</v>
      </c>
      <c r="C186" s="240"/>
      <c r="D186" s="240" t="s">
        <v>190</v>
      </c>
      <c r="E186" s="240" t="s">
        <v>103</v>
      </c>
      <c r="F186" s="240"/>
      <c r="G186" s="240" t="s">
        <v>104</v>
      </c>
      <c r="H186" s="240" t="s">
        <v>115</v>
      </c>
      <c r="I186" s="240" t="s">
        <v>83</v>
      </c>
      <c r="J186" s="240" t="s">
        <v>339</v>
      </c>
      <c r="K186" s="241">
        <v>15</v>
      </c>
      <c r="L186" s="241">
        <v>25</v>
      </c>
      <c r="M186" s="241">
        <v>21</v>
      </c>
      <c r="N186" s="241" t="s">
        <v>915</v>
      </c>
      <c r="O186" s="241">
        <f t="shared" si="5"/>
        <v>61</v>
      </c>
      <c r="P186" s="241" t="s">
        <v>909</v>
      </c>
    </row>
    <row r="187" spans="1:16">
      <c r="A187" s="233">
        <v>186</v>
      </c>
      <c r="B187" s="240" t="s">
        <v>367</v>
      </c>
      <c r="C187" s="240"/>
      <c r="D187" s="240" t="s">
        <v>168</v>
      </c>
      <c r="E187" s="240" t="s">
        <v>79</v>
      </c>
      <c r="F187" s="240"/>
      <c r="G187" s="240" t="s">
        <v>25</v>
      </c>
      <c r="H187" s="240" t="s">
        <v>68</v>
      </c>
      <c r="I187" s="240" t="s">
        <v>83</v>
      </c>
      <c r="J187" s="240" t="s">
        <v>112</v>
      </c>
      <c r="K187" s="241">
        <v>15</v>
      </c>
      <c r="L187" s="241">
        <v>23</v>
      </c>
      <c r="M187" s="241">
        <v>21</v>
      </c>
      <c r="N187" s="241" t="s">
        <v>917</v>
      </c>
      <c r="O187" s="241">
        <f t="shared" si="5"/>
        <v>59</v>
      </c>
      <c r="P187" s="241" t="s">
        <v>920</v>
      </c>
    </row>
    <row r="188" spans="1:16">
      <c r="A188" s="233">
        <v>187</v>
      </c>
      <c r="B188" s="240" t="s">
        <v>408</v>
      </c>
      <c r="C188" s="240"/>
      <c r="D188" s="240" t="s">
        <v>168</v>
      </c>
      <c r="E188" s="240" t="s">
        <v>79</v>
      </c>
      <c r="F188" s="240"/>
      <c r="G188" s="240" t="s">
        <v>25</v>
      </c>
      <c r="H188" s="240" t="s">
        <v>62</v>
      </c>
      <c r="I188" s="240"/>
      <c r="J188" s="240" t="s">
        <v>109</v>
      </c>
      <c r="K188" s="241"/>
      <c r="L188" s="241"/>
      <c r="M188" s="241"/>
      <c r="N188" s="241"/>
      <c r="O188" s="241">
        <f t="shared" si="5"/>
        <v>0</v>
      </c>
      <c r="P188" s="241" t="s">
        <v>1276</v>
      </c>
    </row>
    <row r="189" spans="1:16">
      <c r="A189" s="233">
        <v>188</v>
      </c>
      <c r="B189" s="240" t="s">
        <v>454</v>
      </c>
      <c r="C189" s="240"/>
      <c r="D189" s="240" t="s">
        <v>168</v>
      </c>
      <c r="E189" s="240" t="s">
        <v>79</v>
      </c>
      <c r="F189" s="240"/>
      <c r="G189" s="240" t="s">
        <v>25</v>
      </c>
      <c r="H189" s="240" t="s">
        <v>159</v>
      </c>
      <c r="I189" s="240" t="s">
        <v>83</v>
      </c>
      <c r="J189" s="240" t="s">
        <v>109</v>
      </c>
      <c r="K189" s="241"/>
      <c r="L189" s="241"/>
      <c r="M189" s="241"/>
      <c r="N189" s="241"/>
      <c r="O189" s="241">
        <f t="shared" si="5"/>
        <v>0</v>
      </c>
      <c r="P189" s="241" t="s">
        <v>1219</v>
      </c>
    </row>
    <row r="190" spans="1:16">
      <c r="A190" s="233">
        <v>189</v>
      </c>
      <c r="B190" s="240" t="s">
        <v>492</v>
      </c>
      <c r="C190" s="240"/>
      <c r="D190" s="240" t="s">
        <v>168</v>
      </c>
      <c r="E190" s="240" t="s">
        <v>79</v>
      </c>
      <c r="F190" s="240"/>
      <c r="G190" s="240" t="s">
        <v>25</v>
      </c>
      <c r="H190" s="240" t="s">
        <v>299</v>
      </c>
      <c r="I190" s="240"/>
      <c r="J190" s="240" t="s">
        <v>109</v>
      </c>
      <c r="K190" s="240"/>
      <c r="L190" s="240"/>
      <c r="M190" s="240"/>
      <c r="N190" s="240"/>
      <c r="O190" s="241">
        <f t="shared" si="5"/>
        <v>0</v>
      </c>
      <c r="P190" s="240" t="s">
        <v>1276</v>
      </c>
    </row>
    <row r="191" spans="1:16">
      <c r="A191" s="232"/>
      <c r="B191" s="232"/>
    </row>
    <row r="192" spans="1:16">
      <c r="A192" s="232"/>
      <c r="B192" s="232"/>
    </row>
    <row r="193" spans="1:16">
      <c r="A193" s="232"/>
      <c r="B193" s="232"/>
    </row>
    <row r="194" spans="1:16">
      <c r="A194" s="232"/>
      <c r="B194" s="232"/>
    </row>
    <row r="195" spans="1:16">
      <c r="A195" s="232"/>
      <c r="B195" s="232"/>
    </row>
    <row r="196" spans="1:16">
      <c r="A196" s="232"/>
      <c r="B196" s="232"/>
    </row>
    <row r="197" spans="1:16"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</row>
  </sheetData>
  <sortState ref="A2:Q196">
    <sortCondition ref="Q2:Q196"/>
    <sortCondition descending="1" ref="O2:O196"/>
  </sortState>
  <conditionalFormatting sqref="B145:B149 B88:B95 B2:B36 B38:B64 B84 B97:B143 B86 B66:B82">
    <cfRule type="duplicateValues" dxfId="20" priority="49"/>
  </conditionalFormatting>
  <conditionalFormatting sqref="B150 B1 B187:B190 B153:B185 B198:B1048576">
    <cfRule type="duplicateValues" dxfId="19" priority="2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09"/>
  <sheetViews>
    <sheetView rightToLeft="1" topLeftCell="C89" zoomScaleNormal="100" workbookViewId="0">
      <selection activeCell="O109" sqref="O109"/>
    </sheetView>
  </sheetViews>
  <sheetFormatPr defaultColWidth="17.625" defaultRowHeight="14.25"/>
  <cols>
    <col min="2" max="2" width="24.125" customWidth="1"/>
    <col min="8" max="8" width="29.25" customWidth="1"/>
  </cols>
  <sheetData>
    <row r="1" spans="1:16" s="126" customFormat="1" ht="49.5" customHeight="1">
      <c r="A1" s="1" t="s">
        <v>0</v>
      </c>
      <c r="B1" s="1" t="s">
        <v>1</v>
      </c>
      <c r="C1" s="1" t="s">
        <v>50</v>
      </c>
      <c r="D1" s="1" t="s">
        <v>16</v>
      </c>
      <c r="E1" s="1" t="s">
        <v>15</v>
      </c>
      <c r="F1" s="1" t="s">
        <v>51</v>
      </c>
      <c r="G1" s="1" t="s">
        <v>14</v>
      </c>
      <c r="H1" s="1" t="s">
        <v>17</v>
      </c>
      <c r="I1" s="1" t="s">
        <v>3</v>
      </c>
      <c r="J1" s="1" t="s">
        <v>4</v>
      </c>
      <c r="K1" s="1" t="s">
        <v>42</v>
      </c>
      <c r="L1" s="1" t="s">
        <v>43</v>
      </c>
      <c r="M1" s="1" t="s">
        <v>44</v>
      </c>
      <c r="N1" s="1" t="s">
        <v>22</v>
      </c>
      <c r="O1" s="1" t="s">
        <v>18</v>
      </c>
    </row>
    <row r="2" spans="1:16" s="126" customFormat="1" ht="20.100000000000001" customHeight="1">
      <c r="A2" s="131">
        <v>1</v>
      </c>
      <c r="B2" s="142" t="s">
        <v>546</v>
      </c>
      <c r="C2" s="142"/>
      <c r="D2" s="142" t="s">
        <v>168</v>
      </c>
      <c r="E2" s="142" t="s">
        <v>79</v>
      </c>
      <c r="F2" s="142"/>
      <c r="G2" s="142" t="s">
        <v>24</v>
      </c>
      <c r="H2" s="142" t="s">
        <v>53</v>
      </c>
      <c r="I2" s="142" t="s">
        <v>110</v>
      </c>
      <c r="J2" s="142" t="s">
        <v>494</v>
      </c>
      <c r="K2" s="143">
        <v>28</v>
      </c>
      <c r="L2" s="143">
        <v>38</v>
      </c>
      <c r="M2" s="143">
        <v>18</v>
      </c>
      <c r="N2" s="143">
        <f t="shared" ref="N2:N33" si="0">SUM(K2:M2)</f>
        <v>84</v>
      </c>
      <c r="O2" s="143"/>
    </row>
    <row r="3" spans="1:16" s="126" customFormat="1" ht="20.100000000000001" customHeight="1">
      <c r="A3" s="131">
        <v>2</v>
      </c>
      <c r="B3" s="142" t="s">
        <v>563</v>
      </c>
      <c r="C3" s="142"/>
      <c r="D3" s="142" t="s">
        <v>168</v>
      </c>
      <c r="E3" s="142" t="s">
        <v>79</v>
      </c>
      <c r="F3" s="142"/>
      <c r="G3" s="142" t="s">
        <v>24</v>
      </c>
      <c r="H3" s="142" t="s">
        <v>135</v>
      </c>
      <c r="I3" s="142" t="s">
        <v>86</v>
      </c>
      <c r="J3" s="142" t="s">
        <v>494</v>
      </c>
      <c r="K3" s="143">
        <v>26</v>
      </c>
      <c r="L3" s="143">
        <v>37.5</v>
      </c>
      <c r="M3" s="143">
        <v>16</v>
      </c>
      <c r="N3" s="143">
        <f t="shared" si="0"/>
        <v>79.5</v>
      </c>
      <c r="O3" s="143"/>
    </row>
    <row r="4" spans="1:16" s="126" customFormat="1" ht="20.100000000000001" customHeight="1">
      <c r="A4" s="131">
        <v>3</v>
      </c>
      <c r="B4" s="142" t="s">
        <v>594</v>
      </c>
      <c r="C4" s="142"/>
      <c r="D4" s="142" t="s">
        <v>168</v>
      </c>
      <c r="E4" s="142" t="s">
        <v>79</v>
      </c>
      <c r="F4" s="142"/>
      <c r="G4" s="142" t="s">
        <v>24</v>
      </c>
      <c r="H4" s="142" t="s">
        <v>71</v>
      </c>
      <c r="I4" s="142" t="s">
        <v>86</v>
      </c>
      <c r="J4" s="142" t="s">
        <v>494</v>
      </c>
      <c r="K4" s="143">
        <v>28</v>
      </c>
      <c r="L4" s="143">
        <v>33.5</v>
      </c>
      <c r="M4" s="143">
        <v>17</v>
      </c>
      <c r="N4" s="143">
        <f t="shared" si="0"/>
        <v>78.5</v>
      </c>
      <c r="O4" s="143"/>
    </row>
    <row r="5" spans="1:16" s="126" customFormat="1" ht="20.100000000000001" customHeight="1">
      <c r="A5" s="131">
        <v>4</v>
      </c>
      <c r="B5" s="142" t="s">
        <v>516</v>
      </c>
      <c r="C5" s="142"/>
      <c r="D5" s="142" t="s">
        <v>168</v>
      </c>
      <c r="E5" s="142" t="s">
        <v>79</v>
      </c>
      <c r="F5" s="142"/>
      <c r="G5" s="142" t="s">
        <v>24</v>
      </c>
      <c r="H5" s="142" t="s">
        <v>56</v>
      </c>
      <c r="I5" s="142" t="s">
        <v>101</v>
      </c>
      <c r="J5" s="142" t="s">
        <v>494</v>
      </c>
      <c r="K5" s="143">
        <v>25.25</v>
      </c>
      <c r="L5" s="143">
        <v>34</v>
      </c>
      <c r="M5" s="143">
        <v>12</v>
      </c>
      <c r="N5" s="143">
        <f t="shared" si="0"/>
        <v>71.25</v>
      </c>
      <c r="O5" s="143" t="s">
        <v>1224</v>
      </c>
    </row>
    <row r="6" spans="1:16" ht="24">
      <c r="A6" s="131">
        <v>5</v>
      </c>
      <c r="B6" s="142" t="s">
        <v>585</v>
      </c>
      <c r="C6" s="142"/>
      <c r="D6" s="142" t="s">
        <v>168</v>
      </c>
      <c r="E6" s="142" t="s">
        <v>79</v>
      </c>
      <c r="F6" s="142"/>
      <c r="G6" s="142" t="s">
        <v>24</v>
      </c>
      <c r="H6" s="142" t="s">
        <v>40</v>
      </c>
      <c r="I6" s="142" t="s">
        <v>81</v>
      </c>
      <c r="J6" s="142" t="s">
        <v>494</v>
      </c>
      <c r="K6" s="143">
        <v>24</v>
      </c>
      <c r="L6" s="143">
        <v>31</v>
      </c>
      <c r="M6" s="143">
        <v>16</v>
      </c>
      <c r="N6" s="143">
        <f t="shared" si="0"/>
        <v>71</v>
      </c>
      <c r="O6" s="143"/>
      <c r="P6" s="126"/>
    </row>
    <row r="7" spans="1:16" s="126" customFormat="1" ht="20.100000000000001" customHeight="1">
      <c r="A7" s="131">
        <v>6</v>
      </c>
      <c r="B7" s="142" t="s">
        <v>569</v>
      </c>
      <c r="C7" s="142"/>
      <c r="D7" s="142" t="s">
        <v>168</v>
      </c>
      <c r="E7" s="142" t="s">
        <v>79</v>
      </c>
      <c r="F7" s="142"/>
      <c r="G7" s="142" t="s">
        <v>24</v>
      </c>
      <c r="H7" s="142" t="s">
        <v>55</v>
      </c>
      <c r="I7" s="142" t="s">
        <v>101</v>
      </c>
      <c r="J7" s="142" t="s">
        <v>494</v>
      </c>
      <c r="K7" s="143">
        <v>25</v>
      </c>
      <c r="L7" s="143">
        <v>30.5</v>
      </c>
      <c r="M7" s="143">
        <v>15</v>
      </c>
      <c r="N7" s="143">
        <f t="shared" si="0"/>
        <v>70.5</v>
      </c>
      <c r="O7" s="143"/>
    </row>
    <row r="8" spans="1:16" s="126" customFormat="1" ht="20.100000000000001" customHeight="1">
      <c r="A8" s="131">
        <v>7</v>
      </c>
      <c r="B8" s="142" t="s">
        <v>568</v>
      </c>
      <c r="C8" s="142"/>
      <c r="D8" s="142" t="s">
        <v>168</v>
      </c>
      <c r="E8" s="142" t="s">
        <v>79</v>
      </c>
      <c r="F8" s="142"/>
      <c r="G8" s="142" t="s">
        <v>157</v>
      </c>
      <c r="H8" s="142" t="s">
        <v>99</v>
      </c>
      <c r="I8" s="142" t="s">
        <v>101</v>
      </c>
      <c r="J8" s="142" t="s">
        <v>566</v>
      </c>
      <c r="K8" s="143">
        <v>24</v>
      </c>
      <c r="L8" s="143">
        <v>33</v>
      </c>
      <c r="M8" s="143">
        <v>12</v>
      </c>
      <c r="N8" s="143">
        <f t="shared" si="0"/>
        <v>69</v>
      </c>
      <c r="O8" s="143"/>
    </row>
    <row r="9" spans="1:16" s="126" customFormat="1" ht="20.100000000000001" customHeight="1">
      <c r="A9" s="131">
        <v>8</v>
      </c>
      <c r="B9" s="142" t="s">
        <v>556</v>
      </c>
      <c r="C9" s="142"/>
      <c r="D9" s="142" t="s">
        <v>168</v>
      </c>
      <c r="E9" s="142" t="s">
        <v>79</v>
      </c>
      <c r="F9" s="142"/>
      <c r="G9" s="142" t="s">
        <v>24</v>
      </c>
      <c r="H9" s="142" t="s">
        <v>61</v>
      </c>
      <c r="I9" s="142" t="s">
        <v>101</v>
      </c>
      <c r="J9" s="142" t="s">
        <v>494</v>
      </c>
      <c r="K9" s="143">
        <v>23.75</v>
      </c>
      <c r="L9" s="143">
        <v>29</v>
      </c>
      <c r="M9" s="143">
        <v>16</v>
      </c>
      <c r="N9" s="143">
        <f t="shared" si="0"/>
        <v>68.75</v>
      </c>
      <c r="O9" s="143"/>
    </row>
    <row r="10" spans="1:16" s="126" customFormat="1" ht="20.100000000000001" customHeight="1">
      <c r="A10" s="131">
        <v>9</v>
      </c>
      <c r="B10" s="142" t="s">
        <v>547</v>
      </c>
      <c r="C10" s="142"/>
      <c r="D10" s="142" t="s">
        <v>168</v>
      </c>
      <c r="E10" s="142" t="s">
        <v>79</v>
      </c>
      <c r="F10" s="142"/>
      <c r="G10" s="142" t="s">
        <v>24</v>
      </c>
      <c r="H10" s="142" t="s">
        <v>53</v>
      </c>
      <c r="I10" s="142" t="s">
        <v>81</v>
      </c>
      <c r="J10" s="142" t="s">
        <v>494</v>
      </c>
      <c r="K10" s="143">
        <v>22</v>
      </c>
      <c r="L10" s="143">
        <v>30</v>
      </c>
      <c r="M10" s="143">
        <v>16</v>
      </c>
      <c r="N10" s="143">
        <f t="shared" si="0"/>
        <v>68</v>
      </c>
      <c r="O10" s="143"/>
    </row>
    <row r="11" spans="1:16" s="126" customFormat="1" ht="20.100000000000001" customHeight="1">
      <c r="A11" s="131">
        <v>10</v>
      </c>
      <c r="B11" s="142" t="s">
        <v>551</v>
      </c>
      <c r="C11" s="142"/>
      <c r="D11" s="142" t="s">
        <v>168</v>
      </c>
      <c r="E11" s="142" t="s">
        <v>79</v>
      </c>
      <c r="F11" s="142"/>
      <c r="G11" s="142" t="s">
        <v>24</v>
      </c>
      <c r="H11" s="142" t="s">
        <v>61</v>
      </c>
      <c r="I11" s="142" t="s">
        <v>101</v>
      </c>
      <c r="J11" s="142" t="s">
        <v>494</v>
      </c>
      <c r="K11" s="143">
        <v>23</v>
      </c>
      <c r="L11" s="143">
        <v>31</v>
      </c>
      <c r="M11" s="143">
        <v>14</v>
      </c>
      <c r="N11" s="143">
        <f t="shared" si="0"/>
        <v>68</v>
      </c>
      <c r="O11" s="143" t="s">
        <v>920</v>
      </c>
    </row>
    <row r="12" spans="1:16" s="126" customFormat="1" ht="20.100000000000001" customHeight="1">
      <c r="A12" s="131">
        <v>11</v>
      </c>
      <c r="B12" s="142" t="s">
        <v>575</v>
      </c>
      <c r="C12" s="142"/>
      <c r="D12" s="142" t="s">
        <v>168</v>
      </c>
      <c r="E12" s="142" t="s">
        <v>79</v>
      </c>
      <c r="F12" s="142"/>
      <c r="G12" s="142" t="s">
        <v>24</v>
      </c>
      <c r="H12" s="142" t="s">
        <v>100</v>
      </c>
      <c r="I12" s="142" t="s">
        <v>101</v>
      </c>
      <c r="J12" s="142" t="s">
        <v>494</v>
      </c>
      <c r="K12" s="143">
        <v>22.5</v>
      </c>
      <c r="L12" s="143">
        <v>30</v>
      </c>
      <c r="M12" s="143">
        <v>12</v>
      </c>
      <c r="N12" s="143">
        <f t="shared" si="0"/>
        <v>64.5</v>
      </c>
      <c r="O12" s="143"/>
    </row>
    <row r="13" spans="1:16" s="126" customFormat="1" ht="20.100000000000001" customHeight="1">
      <c r="A13" s="131">
        <v>12</v>
      </c>
      <c r="B13" s="142" t="s">
        <v>583</v>
      </c>
      <c r="C13" s="142"/>
      <c r="D13" s="142" t="s">
        <v>168</v>
      </c>
      <c r="E13" s="142" t="s">
        <v>79</v>
      </c>
      <c r="F13" s="142"/>
      <c r="G13" s="142" t="s">
        <v>24</v>
      </c>
      <c r="H13" s="142" t="s">
        <v>58</v>
      </c>
      <c r="I13" s="142" t="s">
        <v>81</v>
      </c>
      <c r="J13" s="142" t="s">
        <v>494</v>
      </c>
      <c r="K13" s="143">
        <v>23.5</v>
      </c>
      <c r="L13" s="143">
        <v>29</v>
      </c>
      <c r="M13" s="143">
        <v>12</v>
      </c>
      <c r="N13" s="143">
        <f t="shared" si="0"/>
        <v>64.5</v>
      </c>
      <c r="O13" s="143"/>
    </row>
    <row r="14" spans="1:16" s="126" customFormat="1" ht="20.100000000000001" customHeight="1">
      <c r="A14" s="131">
        <v>13</v>
      </c>
      <c r="B14" s="142" t="s">
        <v>525</v>
      </c>
      <c r="C14" s="142"/>
      <c r="D14" s="142" t="s">
        <v>168</v>
      </c>
      <c r="E14" s="142" t="s">
        <v>79</v>
      </c>
      <c r="F14" s="142"/>
      <c r="G14" s="142" t="s">
        <v>24</v>
      </c>
      <c r="H14" s="142" t="s">
        <v>120</v>
      </c>
      <c r="I14" s="142" t="s">
        <v>81</v>
      </c>
      <c r="J14" s="142" t="s">
        <v>494</v>
      </c>
      <c r="K14" s="143">
        <v>23</v>
      </c>
      <c r="L14" s="143">
        <v>28</v>
      </c>
      <c r="M14" s="143">
        <v>13</v>
      </c>
      <c r="N14" s="143">
        <f t="shared" si="0"/>
        <v>64</v>
      </c>
      <c r="O14" s="143"/>
    </row>
    <row r="15" spans="1:16" s="126" customFormat="1" ht="20.100000000000001" customHeight="1">
      <c r="A15" s="131">
        <v>14</v>
      </c>
      <c r="B15" s="142" t="s">
        <v>538</v>
      </c>
      <c r="C15" s="142"/>
      <c r="D15" s="142" t="s">
        <v>168</v>
      </c>
      <c r="E15" s="142" t="s">
        <v>79</v>
      </c>
      <c r="F15" s="142"/>
      <c r="G15" s="142" t="s">
        <v>24</v>
      </c>
      <c r="H15" s="142" t="s">
        <v>65</v>
      </c>
      <c r="I15" s="142" t="s">
        <v>86</v>
      </c>
      <c r="J15" s="142" t="s">
        <v>494</v>
      </c>
      <c r="K15" s="143">
        <v>21</v>
      </c>
      <c r="L15" s="143">
        <v>28</v>
      </c>
      <c r="M15" s="143">
        <v>14</v>
      </c>
      <c r="N15" s="143">
        <f t="shared" si="0"/>
        <v>63</v>
      </c>
      <c r="O15" s="143"/>
    </row>
    <row r="16" spans="1:16" s="126" customFormat="1" ht="20.100000000000001" customHeight="1">
      <c r="A16" s="131">
        <v>15</v>
      </c>
      <c r="B16" s="144" t="s">
        <v>528</v>
      </c>
      <c r="C16" s="144"/>
      <c r="D16" s="144" t="s">
        <v>168</v>
      </c>
      <c r="E16" s="144" t="s">
        <v>79</v>
      </c>
      <c r="F16" s="144"/>
      <c r="G16" s="144" t="s">
        <v>26</v>
      </c>
      <c r="H16" s="144" t="s">
        <v>69</v>
      </c>
      <c r="I16" s="144" t="s">
        <v>363</v>
      </c>
      <c r="J16" s="144" t="s">
        <v>494</v>
      </c>
      <c r="K16" s="134">
        <v>26.75</v>
      </c>
      <c r="L16" s="134">
        <v>37</v>
      </c>
      <c r="M16" s="134">
        <v>18</v>
      </c>
      <c r="N16" s="134">
        <f t="shared" si="0"/>
        <v>81.75</v>
      </c>
      <c r="O16" s="134"/>
    </row>
    <row r="17" spans="1:15" s="126" customFormat="1" ht="20.100000000000001" customHeight="1">
      <c r="A17" s="131">
        <v>16</v>
      </c>
      <c r="B17" s="144" t="s">
        <v>526</v>
      </c>
      <c r="C17" s="144"/>
      <c r="D17" s="144" t="s">
        <v>168</v>
      </c>
      <c r="E17" s="144" t="s">
        <v>79</v>
      </c>
      <c r="F17" s="144"/>
      <c r="G17" s="144" t="s">
        <v>26</v>
      </c>
      <c r="H17" s="144" t="s">
        <v>69</v>
      </c>
      <c r="I17" s="144" t="s">
        <v>527</v>
      </c>
      <c r="J17" s="144" t="s">
        <v>494</v>
      </c>
      <c r="K17" s="134">
        <v>25</v>
      </c>
      <c r="L17" s="134">
        <v>36</v>
      </c>
      <c r="M17" s="134">
        <v>17</v>
      </c>
      <c r="N17" s="134">
        <f t="shared" si="0"/>
        <v>78</v>
      </c>
      <c r="O17" s="134"/>
    </row>
    <row r="18" spans="1:15" s="126" customFormat="1" ht="20.100000000000001" customHeight="1">
      <c r="A18" s="131">
        <v>17</v>
      </c>
      <c r="B18" s="144" t="s">
        <v>572</v>
      </c>
      <c r="C18" s="144"/>
      <c r="D18" s="144" t="s">
        <v>168</v>
      </c>
      <c r="E18" s="144" t="s">
        <v>79</v>
      </c>
      <c r="F18" s="144"/>
      <c r="G18" s="144" t="s">
        <v>26</v>
      </c>
      <c r="H18" s="144" t="s">
        <v>55</v>
      </c>
      <c r="I18" s="144" t="s">
        <v>83</v>
      </c>
      <c r="J18" s="144" t="s">
        <v>494</v>
      </c>
      <c r="K18" s="134">
        <v>25.5</v>
      </c>
      <c r="L18" s="134">
        <v>34.25</v>
      </c>
      <c r="M18" s="134">
        <v>18</v>
      </c>
      <c r="N18" s="134">
        <f t="shared" si="0"/>
        <v>77.75</v>
      </c>
      <c r="O18" s="134"/>
    </row>
    <row r="19" spans="1:15" s="126" customFormat="1" ht="20.100000000000001" customHeight="1">
      <c r="A19" s="131">
        <v>18</v>
      </c>
      <c r="B19" s="144" t="s">
        <v>557</v>
      </c>
      <c r="C19" s="144"/>
      <c r="D19" s="144" t="s">
        <v>168</v>
      </c>
      <c r="E19" s="144" t="s">
        <v>79</v>
      </c>
      <c r="F19" s="144"/>
      <c r="G19" s="144" t="s">
        <v>92</v>
      </c>
      <c r="H19" s="144" t="s">
        <v>52</v>
      </c>
      <c r="I19" s="144" t="s">
        <v>94</v>
      </c>
      <c r="J19" s="144" t="s">
        <v>494</v>
      </c>
      <c r="K19" s="134">
        <v>25</v>
      </c>
      <c r="L19" s="134">
        <v>35.75</v>
      </c>
      <c r="M19" s="134">
        <v>17</v>
      </c>
      <c r="N19" s="134">
        <f t="shared" si="0"/>
        <v>77.75</v>
      </c>
      <c r="O19" s="134"/>
    </row>
    <row r="20" spans="1:15" s="126" customFormat="1" ht="20.100000000000001" customHeight="1">
      <c r="A20" s="131">
        <v>19</v>
      </c>
      <c r="B20" s="144" t="s">
        <v>535</v>
      </c>
      <c r="C20" s="144"/>
      <c r="D20" s="144" t="s">
        <v>168</v>
      </c>
      <c r="E20" s="144" t="s">
        <v>79</v>
      </c>
      <c r="F20" s="144"/>
      <c r="G20" s="144" t="s">
        <v>26</v>
      </c>
      <c r="H20" s="144" t="s">
        <v>124</v>
      </c>
      <c r="I20" s="144" t="s">
        <v>83</v>
      </c>
      <c r="J20" s="144" t="s">
        <v>494</v>
      </c>
      <c r="K20" s="134">
        <v>26</v>
      </c>
      <c r="L20" s="134">
        <v>34.5</v>
      </c>
      <c r="M20" s="134">
        <v>17</v>
      </c>
      <c r="N20" s="134">
        <f t="shared" si="0"/>
        <v>77.5</v>
      </c>
      <c r="O20" s="134"/>
    </row>
    <row r="21" spans="1:15" s="126" customFormat="1" ht="20.100000000000001" customHeight="1">
      <c r="A21" s="131">
        <v>20</v>
      </c>
      <c r="B21" s="144" t="s">
        <v>507</v>
      </c>
      <c r="C21" s="144"/>
      <c r="D21" s="144" t="s">
        <v>168</v>
      </c>
      <c r="E21" s="144" t="s">
        <v>79</v>
      </c>
      <c r="F21" s="144"/>
      <c r="G21" s="144" t="s">
        <v>26</v>
      </c>
      <c r="H21" s="144" t="s">
        <v>113</v>
      </c>
      <c r="I21" s="144" t="s">
        <v>101</v>
      </c>
      <c r="J21" s="144" t="s">
        <v>494</v>
      </c>
      <c r="K21" s="134">
        <v>26.75</v>
      </c>
      <c r="L21" s="134">
        <v>33.75</v>
      </c>
      <c r="M21" s="134">
        <v>16</v>
      </c>
      <c r="N21" s="134">
        <f t="shared" si="0"/>
        <v>76.5</v>
      </c>
      <c r="O21" s="134"/>
    </row>
    <row r="22" spans="1:15" s="126" customFormat="1" ht="20.100000000000001" customHeight="1">
      <c r="A22" s="131">
        <v>21</v>
      </c>
      <c r="B22" s="144" t="s">
        <v>509</v>
      </c>
      <c r="C22" s="144"/>
      <c r="D22" s="144" t="s">
        <v>168</v>
      </c>
      <c r="E22" s="144" t="s">
        <v>79</v>
      </c>
      <c r="F22" s="144"/>
      <c r="G22" s="144" t="s">
        <v>26</v>
      </c>
      <c r="H22" s="144" t="s">
        <v>182</v>
      </c>
      <c r="I22" s="144" t="s">
        <v>83</v>
      </c>
      <c r="J22" s="144" t="s">
        <v>494</v>
      </c>
      <c r="K22" s="134">
        <v>25</v>
      </c>
      <c r="L22" s="134">
        <v>33</v>
      </c>
      <c r="M22" s="134">
        <v>18</v>
      </c>
      <c r="N22" s="134">
        <f t="shared" si="0"/>
        <v>76</v>
      </c>
      <c r="O22" s="134"/>
    </row>
    <row r="23" spans="1:15" s="126" customFormat="1" ht="20.100000000000001" customHeight="1">
      <c r="A23" s="131">
        <v>22</v>
      </c>
      <c r="B23" s="144" t="s">
        <v>536</v>
      </c>
      <c r="C23" s="144"/>
      <c r="D23" s="144" t="s">
        <v>190</v>
      </c>
      <c r="E23" s="144" t="s">
        <v>103</v>
      </c>
      <c r="F23" s="144"/>
      <c r="G23" s="144" t="s">
        <v>26</v>
      </c>
      <c r="H23" s="144" t="s">
        <v>66</v>
      </c>
      <c r="I23" s="144" t="s">
        <v>81</v>
      </c>
      <c r="J23" s="144" t="s">
        <v>494</v>
      </c>
      <c r="K23" s="134">
        <v>24</v>
      </c>
      <c r="L23" s="134">
        <v>34.75</v>
      </c>
      <c r="M23" s="134">
        <v>17</v>
      </c>
      <c r="N23" s="134">
        <f t="shared" si="0"/>
        <v>75.75</v>
      </c>
      <c r="O23" s="134"/>
    </row>
    <row r="24" spans="1:15" s="126" customFormat="1" ht="20.100000000000001" customHeight="1">
      <c r="A24" s="131">
        <v>23</v>
      </c>
      <c r="B24" s="144" t="s">
        <v>510</v>
      </c>
      <c r="C24" s="144"/>
      <c r="D24" s="144" t="s">
        <v>168</v>
      </c>
      <c r="E24" s="144" t="s">
        <v>79</v>
      </c>
      <c r="F24" s="144"/>
      <c r="G24" s="144" t="s">
        <v>26</v>
      </c>
      <c r="H24" s="144" t="s">
        <v>182</v>
      </c>
      <c r="I24" s="144" t="s">
        <v>83</v>
      </c>
      <c r="J24" s="144" t="s">
        <v>494</v>
      </c>
      <c r="K24" s="134">
        <v>25.75</v>
      </c>
      <c r="L24" s="134">
        <v>33.5</v>
      </c>
      <c r="M24" s="134">
        <v>16</v>
      </c>
      <c r="N24" s="134">
        <f t="shared" si="0"/>
        <v>75.25</v>
      </c>
      <c r="O24" s="134" t="s">
        <v>921</v>
      </c>
    </row>
    <row r="25" spans="1:15" s="126" customFormat="1" ht="20.100000000000001" customHeight="1">
      <c r="A25" s="131">
        <v>24</v>
      </c>
      <c r="B25" s="144" t="s">
        <v>549</v>
      </c>
      <c r="C25" s="144"/>
      <c r="D25" s="144" t="s">
        <v>168</v>
      </c>
      <c r="E25" s="144" t="s">
        <v>79</v>
      </c>
      <c r="F25" s="144"/>
      <c r="G25" s="144" t="s">
        <v>26</v>
      </c>
      <c r="H25" s="144" t="s">
        <v>130</v>
      </c>
      <c r="I25" s="144" t="s">
        <v>81</v>
      </c>
      <c r="J25" s="144" t="s">
        <v>494</v>
      </c>
      <c r="K25" s="134">
        <v>24.5</v>
      </c>
      <c r="L25" s="134">
        <v>33.75</v>
      </c>
      <c r="M25" s="134">
        <v>16</v>
      </c>
      <c r="N25" s="134">
        <f t="shared" si="0"/>
        <v>74.25</v>
      </c>
      <c r="O25" s="134"/>
    </row>
    <row r="26" spans="1:15" s="126" customFormat="1" ht="20.100000000000001" customHeight="1">
      <c r="A26" s="131">
        <v>25</v>
      </c>
      <c r="B26" s="144" t="s">
        <v>592</v>
      </c>
      <c r="C26" s="144"/>
      <c r="D26" s="144" t="s">
        <v>168</v>
      </c>
      <c r="E26" s="144" t="s">
        <v>103</v>
      </c>
      <c r="F26" s="144"/>
      <c r="G26" s="144" t="s">
        <v>67</v>
      </c>
      <c r="H26" s="144" t="s">
        <v>105</v>
      </c>
      <c r="I26" s="144" t="s">
        <v>88</v>
      </c>
      <c r="J26" s="144" t="s">
        <v>494</v>
      </c>
      <c r="K26" s="134">
        <v>23.5</v>
      </c>
      <c r="L26" s="134">
        <v>34</v>
      </c>
      <c r="M26" s="134">
        <v>16</v>
      </c>
      <c r="N26" s="134">
        <f t="shared" si="0"/>
        <v>73.5</v>
      </c>
      <c r="O26" s="134" t="s">
        <v>914</v>
      </c>
    </row>
    <row r="27" spans="1:15" s="126" customFormat="1" ht="20.100000000000001" customHeight="1">
      <c r="A27" s="131">
        <v>26</v>
      </c>
      <c r="B27" s="144" t="s">
        <v>519</v>
      </c>
      <c r="C27" s="144"/>
      <c r="D27" s="144" t="s">
        <v>168</v>
      </c>
      <c r="E27" s="144" t="s">
        <v>79</v>
      </c>
      <c r="F27" s="144"/>
      <c r="G27" s="144" t="s">
        <v>26</v>
      </c>
      <c r="H27" s="144" t="s">
        <v>56</v>
      </c>
      <c r="I27" s="144" t="s">
        <v>88</v>
      </c>
      <c r="J27" s="144" t="s">
        <v>494</v>
      </c>
      <c r="K27" s="134">
        <v>24.5</v>
      </c>
      <c r="L27" s="134">
        <v>32.5</v>
      </c>
      <c r="M27" s="134">
        <v>16</v>
      </c>
      <c r="N27" s="134">
        <f t="shared" si="0"/>
        <v>73</v>
      </c>
      <c r="O27" s="134" t="s">
        <v>913</v>
      </c>
    </row>
    <row r="28" spans="1:15" s="126" customFormat="1" ht="20.100000000000001" customHeight="1">
      <c r="A28" s="131">
        <v>27</v>
      </c>
      <c r="B28" s="144" t="s">
        <v>602</v>
      </c>
      <c r="C28" s="144"/>
      <c r="D28" s="144" t="s">
        <v>168</v>
      </c>
      <c r="E28" s="144" t="s">
        <v>79</v>
      </c>
      <c r="F28" s="144"/>
      <c r="G28" s="144" t="s">
        <v>26</v>
      </c>
      <c r="H28" s="144" t="s">
        <v>299</v>
      </c>
      <c r="I28" s="144" t="s">
        <v>83</v>
      </c>
      <c r="J28" s="144" t="s">
        <v>494</v>
      </c>
      <c r="K28" s="134">
        <v>25</v>
      </c>
      <c r="L28" s="134">
        <v>32</v>
      </c>
      <c r="M28" s="134">
        <v>16</v>
      </c>
      <c r="N28" s="134">
        <f t="shared" si="0"/>
        <v>73</v>
      </c>
      <c r="O28" s="134"/>
    </row>
    <row r="29" spans="1:15" s="126" customFormat="1" ht="20.100000000000001" customHeight="1">
      <c r="A29" s="131">
        <v>28</v>
      </c>
      <c r="B29" s="144" t="s">
        <v>548</v>
      </c>
      <c r="C29" s="144"/>
      <c r="D29" s="144" t="s">
        <v>168</v>
      </c>
      <c r="E29" s="144" t="s">
        <v>79</v>
      </c>
      <c r="F29" s="144"/>
      <c r="G29" s="144" t="s">
        <v>26</v>
      </c>
      <c r="H29" s="144" t="s">
        <v>53</v>
      </c>
      <c r="I29" s="144" t="s">
        <v>83</v>
      </c>
      <c r="J29" s="144" t="s">
        <v>494</v>
      </c>
      <c r="K29" s="134">
        <v>24</v>
      </c>
      <c r="L29" s="134">
        <v>33</v>
      </c>
      <c r="M29" s="134">
        <v>15</v>
      </c>
      <c r="N29" s="134">
        <f t="shared" si="0"/>
        <v>72</v>
      </c>
      <c r="O29" s="134"/>
    </row>
    <row r="30" spans="1:15" s="126" customFormat="1" ht="20.100000000000001" customHeight="1">
      <c r="A30" s="131">
        <v>29</v>
      </c>
      <c r="B30" s="144" t="s">
        <v>512</v>
      </c>
      <c r="C30" s="144"/>
      <c r="D30" s="144" t="s">
        <v>168</v>
      </c>
      <c r="E30" s="144" t="s">
        <v>79</v>
      </c>
      <c r="F30" s="144"/>
      <c r="G30" s="144" t="s">
        <v>26</v>
      </c>
      <c r="H30" s="144" t="s">
        <v>87</v>
      </c>
      <c r="I30" s="144" t="s">
        <v>86</v>
      </c>
      <c r="J30" s="144" t="s">
        <v>494</v>
      </c>
      <c r="K30" s="134">
        <v>22</v>
      </c>
      <c r="L30" s="134">
        <v>33.75</v>
      </c>
      <c r="M30" s="134">
        <v>16</v>
      </c>
      <c r="N30" s="134">
        <f t="shared" si="0"/>
        <v>71.75</v>
      </c>
      <c r="O30" s="134"/>
    </row>
    <row r="31" spans="1:15" s="126" customFormat="1" ht="20.100000000000001" customHeight="1">
      <c r="A31" s="131">
        <v>30</v>
      </c>
      <c r="B31" s="144" t="s">
        <v>598</v>
      </c>
      <c r="C31" s="144"/>
      <c r="D31" s="144" t="s">
        <v>168</v>
      </c>
      <c r="E31" s="144" t="s">
        <v>79</v>
      </c>
      <c r="F31" s="144"/>
      <c r="G31" s="144" t="s">
        <v>26</v>
      </c>
      <c r="H31" s="144" t="s">
        <v>75</v>
      </c>
      <c r="I31" s="144"/>
      <c r="J31" s="144" t="s">
        <v>494</v>
      </c>
      <c r="K31" s="134">
        <v>24.5</v>
      </c>
      <c r="L31" s="134">
        <v>31</v>
      </c>
      <c r="M31" s="134">
        <v>16</v>
      </c>
      <c r="N31" s="134">
        <f t="shared" si="0"/>
        <v>71.5</v>
      </c>
      <c r="O31" s="134"/>
    </row>
    <row r="32" spans="1:15" s="126" customFormat="1" ht="20.100000000000001" customHeight="1">
      <c r="A32" s="131">
        <v>31</v>
      </c>
      <c r="B32" s="144" t="s">
        <v>508</v>
      </c>
      <c r="C32" s="144"/>
      <c r="D32" s="144" t="s">
        <v>168</v>
      </c>
      <c r="E32" s="144" t="s">
        <v>76</v>
      </c>
      <c r="F32" s="144"/>
      <c r="G32" s="144" t="s">
        <v>26</v>
      </c>
      <c r="H32" s="144" t="s">
        <v>114</v>
      </c>
      <c r="I32" s="144" t="s">
        <v>81</v>
      </c>
      <c r="J32" s="144" t="s">
        <v>494</v>
      </c>
      <c r="K32" s="134">
        <v>24</v>
      </c>
      <c r="L32" s="134">
        <v>31.25</v>
      </c>
      <c r="M32" s="134">
        <v>16</v>
      </c>
      <c r="N32" s="134">
        <f t="shared" si="0"/>
        <v>71.25</v>
      </c>
      <c r="O32" s="134"/>
    </row>
    <row r="33" spans="1:15" s="126" customFormat="1" ht="20.100000000000001" customHeight="1">
      <c r="A33" s="131">
        <v>32</v>
      </c>
      <c r="B33" s="144" t="s">
        <v>590</v>
      </c>
      <c r="C33" s="144"/>
      <c r="D33" s="144" t="s">
        <v>168</v>
      </c>
      <c r="E33" s="144" t="s">
        <v>79</v>
      </c>
      <c r="F33" s="144"/>
      <c r="G33" s="144" t="s">
        <v>26</v>
      </c>
      <c r="H33" s="144" t="s">
        <v>139</v>
      </c>
      <c r="I33" s="144" t="s">
        <v>83</v>
      </c>
      <c r="J33" s="144" t="s">
        <v>494</v>
      </c>
      <c r="K33" s="134">
        <v>22</v>
      </c>
      <c r="L33" s="134">
        <v>32.5</v>
      </c>
      <c r="M33" s="134">
        <v>16</v>
      </c>
      <c r="N33" s="134">
        <f t="shared" si="0"/>
        <v>70.5</v>
      </c>
      <c r="O33" s="134"/>
    </row>
    <row r="34" spans="1:15" s="126" customFormat="1" ht="20.100000000000001" customHeight="1">
      <c r="A34" s="131">
        <v>33</v>
      </c>
      <c r="B34" s="144" t="s">
        <v>532</v>
      </c>
      <c r="C34" s="144"/>
      <c r="D34" s="144" t="s">
        <v>168</v>
      </c>
      <c r="E34" s="144" t="s">
        <v>79</v>
      </c>
      <c r="F34" s="144"/>
      <c r="G34" s="144" t="s">
        <v>26</v>
      </c>
      <c r="H34" s="144" t="s">
        <v>122</v>
      </c>
      <c r="I34" s="144" t="s">
        <v>81</v>
      </c>
      <c r="J34" s="144" t="s">
        <v>494</v>
      </c>
      <c r="K34" s="134">
        <v>23</v>
      </c>
      <c r="L34" s="134">
        <v>30.25</v>
      </c>
      <c r="M34" s="134">
        <v>17</v>
      </c>
      <c r="N34" s="134">
        <f t="shared" ref="N34:N65" si="1">SUM(K34:M34)</f>
        <v>70.25</v>
      </c>
      <c r="O34" s="134"/>
    </row>
    <row r="35" spans="1:15" s="126" customFormat="1" ht="20.100000000000001" customHeight="1">
      <c r="A35" s="131">
        <v>34</v>
      </c>
      <c r="B35" s="144" t="s">
        <v>584</v>
      </c>
      <c r="C35" s="144"/>
      <c r="D35" s="144" t="s">
        <v>168</v>
      </c>
      <c r="E35" s="144" t="s">
        <v>79</v>
      </c>
      <c r="F35" s="144"/>
      <c r="G35" s="144" t="s">
        <v>26</v>
      </c>
      <c r="H35" s="144" t="s">
        <v>40</v>
      </c>
      <c r="I35" s="144" t="s">
        <v>83</v>
      </c>
      <c r="J35" s="144" t="s">
        <v>494</v>
      </c>
      <c r="K35" s="134">
        <v>23</v>
      </c>
      <c r="L35" s="134">
        <v>31.25</v>
      </c>
      <c r="M35" s="134">
        <v>16</v>
      </c>
      <c r="N35" s="134">
        <f t="shared" si="1"/>
        <v>70.25</v>
      </c>
      <c r="O35" s="134"/>
    </row>
    <row r="36" spans="1:15" s="126" customFormat="1" ht="20.100000000000001" customHeight="1">
      <c r="A36" s="131">
        <v>35</v>
      </c>
      <c r="B36" s="144" t="s">
        <v>591</v>
      </c>
      <c r="C36" s="144"/>
      <c r="D36" s="144" t="s">
        <v>168</v>
      </c>
      <c r="E36" s="144" t="s">
        <v>79</v>
      </c>
      <c r="F36" s="144"/>
      <c r="G36" s="144" t="s">
        <v>26</v>
      </c>
      <c r="H36" s="144" t="s">
        <v>139</v>
      </c>
      <c r="I36" s="144" t="s">
        <v>83</v>
      </c>
      <c r="J36" s="144" t="s">
        <v>494</v>
      </c>
      <c r="K36" s="134">
        <v>24</v>
      </c>
      <c r="L36" s="134">
        <v>32</v>
      </c>
      <c r="M36" s="134">
        <v>14</v>
      </c>
      <c r="N36" s="134">
        <f t="shared" si="1"/>
        <v>70</v>
      </c>
      <c r="O36" s="134"/>
    </row>
    <row r="37" spans="1:15" s="126" customFormat="1" ht="20.100000000000001" customHeight="1">
      <c r="A37" s="131">
        <v>36</v>
      </c>
      <c r="B37" s="144" t="s">
        <v>543</v>
      </c>
      <c r="C37" s="144"/>
      <c r="D37" s="144" t="s">
        <v>223</v>
      </c>
      <c r="E37" s="144" t="s">
        <v>79</v>
      </c>
      <c r="F37" s="144"/>
      <c r="G37" s="144" t="s">
        <v>26</v>
      </c>
      <c r="H37" s="144" t="s">
        <v>90</v>
      </c>
      <c r="I37" s="144" t="s">
        <v>83</v>
      </c>
      <c r="J37" s="144" t="s">
        <v>494</v>
      </c>
      <c r="K37" s="134">
        <v>23</v>
      </c>
      <c r="L37" s="134">
        <v>31.75</v>
      </c>
      <c r="M37" s="134">
        <v>15</v>
      </c>
      <c r="N37" s="134">
        <f t="shared" si="1"/>
        <v>69.75</v>
      </c>
      <c r="O37" s="134"/>
    </row>
    <row r="38" spans="1:15" s="126" customFormat="1" ht="20.100000000000001" customHeight="1">
      <c r="A38" s="131">
        <v>37</v>
      </c>
      <c r="B38" s="144" t="s">
        <v>582</v>
      </c>
      <c r="C38" s="144"/>
      <c r="D38" s="144" t="s">
        <v>168</v>
      </c>
      <c r="E38" s="144" t="s">
        <v>79</v>
      </c>
      <c r="F38" s="144"/>
      <c r="G38" s="144" t="s">
        <v>26</v>
      </c>
      <c r="H38" s="144" t="s">
        <v>58</v>
      </c>
      <c r="I38" s="144" t="s">
        <v>81</v>
      </c>
      <c r="J38" s="144" t="s">
        <v>494</v>
      </c>
      <c r="K38" s="134">
        <v>23</v>
      </c>
      <c r="L38" s="134">
        <v>30.5</v>
      </c>
      <c r="M38" s="134">
        <v>16</v>
      </c>
      <c r="N38" s="134">
        <f t="shared" si="1"/>
        <v>69.5</v>
      </c>
      <c r="O38" s="134"/>
    </row>
    <row r="39" spans="1:15" s="126" customFormat="1" ht="20.100000000000001" customHeight="1">
      <c r="A39" s="131">
        <v>38</v>
      </c>
      <c r="B39" s="144" t="s">
        <v>521</v>
      </c>
      <c r="C39" s="144"/>
      <c r="D39" s="144" t="s">
        <v>168</v>
      </c>
      <c r="E39" s="144" t="s">
        <v>79</v>
      </c>
      <c r="F39" s="144"/>
      <c r="G39" s="144" t="s">
        <v>26</v>
      </c>
      <c r="H39" s="144" t="s">
        <v>72</v>
      </c>
      <c r="I39" s="144"/>
      <c r="J39" s="144" t="s">
        <v>494</v>
      </c>
      <c r="K39" s="134">
        <v>23.75</v>
      </c>
      <c r="L39" s="134">
        <v>31.5</v>
      </c>
      <c r="M39" s="134">
        <v>14</v>
      </c>
      <c r="N39" s="134">
        <f t="shared" si="1"/>
        <v>69.25</v>
      </c>
      <c r="O39" s="134"/>
    </row>
    <row r="40" spans="1:15" s="126" customFormat="1" ht="20.100000000000001" customHeight="1">
      <c r="A40" s="131">
        <v>39</v>
      </c>
      <c r="B40" s="144" t="s">
        <v>553</v>
      </c>
      <c r="C40" s="144"/>
      <c r="D40" s="144" t="s">
        <v>168</v>
      </c>
      <c r="E40" s="144" t="s">
        <v>79</v>
      </c>
      <c r="F40" s="144"/>
      <c r="G40" s="144" t="s">
        <v>26</v>
      </c>
      <c r="H40" s="144" t="s">
        <v>61</v>
      </c>
      <c r="I40" s="144" t="s">
        <v>83</v>
      </c>
      <c r="J40" s="144" t="s">
        <v>494</v>
      </c>
      <c r="K40" s="134">
        <v>23</v>
      </c>
      <c r="L40" s="134">
        <v>30</v>
      </c>
      <c r="M40" s="134">
        <v>16</v>
      </c>
      <c r="N40" s="134">
        <f t="shared" si="1"/>
        <v>69</v>
      </c>
      <c r="O40" s="134"/>
    </row>
    <row r="41" spans="1:15" s="126" customFormat="1" ht="20.100000000000001" customHeight="1">
      <c r="A41" s="131">
        <v>40</v>
      </c>
      <c r="B41" s="144" t="s">
        <v>518</v>
      </c>
      <c r="C41" s="144"/>
      <c r="D41" s="144" t="s">
        <v>168</v>
      </c>
      <c r="E41" s="144" t="s">
        <v>79</v>
      </c>
      <c r="F41" s="144"/>
      <c r="G41" s="144" t="s">
        <v>26</v>
      </c>
      <c r="H41" s="144" t="s">
        <v>56</v>
      </c>
      <c r="I41" s="144" t="s">
        <v>83</v>
      </c>
      <c r="J41" s="144" t="s">
        <v>494</v>
      </c>
      <c r="K41" s="134">
        <v>22.5</v>
      </c>
      <c r="L41" s="134">
        <v>31</v>
      </c>
      <c r="M41" s="134">
        <v>15</v>
      </c>
      <c r="N41" s="134">
        <f t="shared" si="1"/>
        <v>68.5</v>
      </c>
      <c r="O41" s="134"/>
    </row>
    <row r="42" spans="1:15" s="126" customFormat="1" ht="20.100000000000001" customHeight="1">
      <c r="A42" s="131">
        <v>41</v>
      </c>
      <c r="B42" s="144" t="s">
        <v>579</v>
      </c>
      <c r="C42" s="144"/>
      <c r="D42" s="144" t="s">
        <v>168</v>
      </c>
      <c r="E42" s="144" t="s">
        <v>79</v>
      </c>
      <c r="F42" s="144"/>
      <c r="G42" s="144" t="s">
        <v>26</v>
      </c>
      <c r="H42" s="144" t="s">
        <v>280</v>
      </c>
      <c r="I42" s="144" t="s">
        <v>83</v>
      </c>
      <c r="J42" s="144" t="s">
        <v>494</v>
      </c>
      <c r="K42" s="134">
        <v>24.75</v>
      </c>
      <c r="L42" s="134">
        <v>30.5</v>
      </c>
      <c r="M42" s="134">
        <v>13</v>
      </c>
      <c r="N42" s="134">
        <f t="shared" si="1"/>
        <v>68.25</v>
      </c>
      <c r="O42" s="134"/>
    </row>
    <row r="43" spans="1:15" s="126" customFormat="1" ht="20.100000000000001" customHeight="1">
      <c r="A43" s="131">
        <v>42</v>
      </c>
      <c r="B43" s="144" t="s">
        <v>597</v>
      </c>
      <c r="C43" s="144"/>
      <c r="D43" s="144" t="s">
        <v>168</v>
      </c>
      <c r="E43" s="144" t="s">
        <v>79</v>
      </c>
      <c r="F43" s="144"/>
      <c r="G43" s="144" t="s">
        <v>26</v>
      </c>
      <c r="H43" s="144" t="s">
        <v>75</v>
      </c>
      <c r="I43" s="144"/>
      <c r="J43" s="144" t="s">
        <v>494</v>
      </c>
      <c r="K43" s="134">
        <v>23</v>
      </c>
      <c r="L43" s="134">
        <v>29.25</v>
      </c>
      <c r="M43" s="134">
        <v>16</v>
      </c>
      <c r="N43" s="134">
        <f t="shared" si="1"/>
        <v>68.25</v>
      </c>
      <c r="O43" s="134"/>
    </row>
    <row r="44" spans="1:15" s="126" customFormat="1" ht="20.100000000000001" customHeight="1">
      <c r="A44" s="131">
        <v>43</v>
      </c>
      <c r="B44" s="144" t="s">
        <v>498</v>
      </c>
      <c r="C44" s="144"/>
      <c r="D44" s="144" t="s">
        <v>168</v>
      </c>
      <c r="E44" s="144" t="s">
        <v>79</v>
      </c>
      <c r="F44" s="144"/>
      <c r="G44" s="144" t="s">
        <v>26</v>
      </c>
      <c r="H44" s="144" t="s">
        <v>80</v>
      </c>
      <c r="I44" s="144"/>
      <c r="J44" s="144" t="s">
        <v>494</v>
      </c>
      <c r="K44" s="134">
        <v>24</v>
      </c>
      <c r="L44" s="134">
        <v>28.5</v>
      </c>
      <c r="M44" s="134">
        <v>15</v>
      </c>
      <c r="N44" s="134">
        <f t="shared" si="1"/>
        <v>67.5</v>
      </c>
      <c r="O44" s="134"/>
    </row>
    <row r="45" spans="1:15" s="126" customFormat="1" ht="20.100000000000001" customHeight="1">
      <c r="A45" s="131">
        <v>44</v>
      </c>
      <c r="B45" s="144" t="s">
        <v>501</v>
      </c>
      <c r="C45" s="144"/>
      <c r="D45" s="144" t="s">
        <v>168</v>
      </c>
      <c r="E45" s="144" t="s">
        <v>79</v>
      </c>
      <c r="F45" s="144"/>
      <c r="G45" s="144" t="s">
        <v>26</v>
      </c>
      <c r="H45" s="144" t="s">
        <v>84</v>
      </c>
      <c r="I45" s="144" t="s">
        <v>83</v>
      </c>
      <c r="J45" s="144" t="s">
        <v>494</v>
      </c>
      <c r="K45" s="134">
        <v>23</v>
      </c>
      <c r="L45" s="134">
        <v>27.5</v>
      </c>
      <c r="M45" s="134">
        <v>17</v>
      </c>
      <c r="N45" s="134">
        <f t="shared" si="1"/>
        <v>67.5</v>
      </c>
      <c r="O45" s="134"/>
    </row>
    <row r="46" spans="1:15" s="126" customFormat="1" ht="20.100000000000001" customHeight="1">
      <c r="A46" s="131">
        <v>45</v>
      </c>
      <c r="B46" s="144" t="s">
        <v>531</v>
      </c>
      <c r="C46" s="144"/>
      <c r="D46" s="144" t="s">
        <v>168</v>
      </c>
      <c r="E46" s="144" t="s">
        <v>79</v>
      </c>
      <c r="F46" s="144"/>
      <c r="G46" s="144" t="s">
        <v>26</v>
      </c>
      <c r="H46" s="144" t="s">
        <v>122</v>
      </c>
      <c r="I46" s="144" t="s">
        <v>83</v>
      </c>
      <c r="J46" s="144" t="s">
        <v>494</v>
      </c>
      <c r="K46" s="133">
        <v>21</v>
      </c>
      <c r="L46" s="134">
        <v>31.25</v>
      </c>
      <c r="M46" s="133">
        <v>15</v>
      </c>
      <c r="N46" s="134">
        <f t="shared" si="1"/>
        <v>67.25</v>
      </c>
      <c r="O46" s="134"/>
    </row>
    <row r="47" spans="1:15" s="126" customFormat="1" ht="20.100000000000001" customHeight="1">
      <c r="A47" s="131">
        <v>46</v>
      </c>
      <c r="B47" s="144" t="s">
        <v>555</v>
      </c>
      <c r="C47" s="144"/>
      <c r="D47" s="144" t="s">
        <v>168</v>
      </c>
      <c r="E47" s="144" t="s">
        <v>79</v>
      </c>
      <c r="F47" s="144"/>
      <c r="G47" s="144" t="s">
        <v>26</v>
      </c>
      <c r="H47" s="144" t="s">
        <v>61</v>
      </c>
      <c r="I47" s="144" t="s">
        <v>101</v>
      </c>
      <c r="J47" s="144" t="s">
        <v>494</v>
      </c>
      <c r="K47" s="134">
        <v>23</v>
      </c>
      <c r="L47" s="134">
        <v>31</v>
      </c>
      <c r="M47" s="134">
        <v>13</v>
      </c>
      <c r="N47" s="134">
        <f t="shared" si="1"/>
        <v>67</v>
      </c>
      <c r="O47" s="134"/>
    </row>
    <row r="48" spans="1:15" s="126" customFormat="1" ht="20.100000000000001" customHeight="1">
      <c r="A48" s="131">
        <v>47</v>
      </c>
      <c r="B48" s="144" t="s">
        <v>581</v>
      </c>
      <c r="C48" s="144"/>
      <c r="D48" s="144" t="s">
        <v>168</v>
      </c>
      <c r="E48" s="144" t="s">
        <v>79</v>
      </c>
      <c r="F48" s="144"/>
      <c r="G48" s="144" t="s">
        <v>26</v>
      </c>
      <c r="H48" s="144" t="s">
        <v>58</v>
      </c>
      <c r="I48" s="144" t="s">
        <v>83</v>
      </c>
      <c r="J48" s="144" t="s">
        <v>494</v>
      </c>
      <c r="K48" s="134">
        <v>24</v>
      </c>
      <c r="L48" s="134">
        <v>33</v>
      </c>
      <c r="M48" s="134">
        <v>10</v>
      </c>
      <c r="N48" s="134">
        <f t="shared" si="1"/>
        <v>67</v>
      </c>
      <c r="O48" s="134" t="s">
        <v>920</v>
      </c>
    </row>
    <row r="49" spans="1:15" s="126" customFormat="1" ht="20.100000000000001" customHeight="1">
      <c r="A49" s="131">
        <v>48</v>
      </c>
      <c r="B49" s="144" t="s">
        <v>513</v>
      </c>
      <c r="C49" s="144"/>
      <c r="D49" s="144" t="s">
        <v>168</v>
      </c>
      <c r="E49" s="144" t="s">
        <v>79</v>
      </c>
      <c r="F49" s="144"/>
      <c r="G49" s="144" t="s">
        <v>26</v>
      </c>
      <c r="H49" s="144" t="s">
        <v>87</v>
      </c>
      <c r="I49" s="144" t="s">
        <v>81</v>
      </c>
      <c r="J49" s="144" t="s">
        <v>494</v>
      </c>
      <c r="K49" s="134">
        <v>24.5</v>
      </c>
      <c r="L49" s="134">
        <v>30</v>
      </c>
      <c r="M49" s="134">
        <v>12</v>
      </c>
      <c r="N49" s="134">
        <f t="shared" si="1"/>
        <v>66.5</v>
      </c>
      <c r="O49" s="134"/>
    </row>
    <row r="50" spans="1:15" s="126" customFormat="1" ht="20.100000000000001" customHeight="1">
      <c r="A50" s="131">
        <v>49</v>
      </c>
      <c r="B50" s="144" t="s">
        <v>593</v>
      </c>
      <c r="C50" s="144"/>
      <c r="D50" s="144" t="s">
        <v>168</v>
      </c>
      <c r="E50" s="144" t="s">
        <v>79</v>
      </c>
      <c r="F50" s="144"/>
      <c r="G50" s="144" t="s">
        <v>26</v>
      </c>
      <c r="H50" s="144" t="s">
        <v>106</v>
      </c>
      <c r="I50" s="144" t="s">
        <v>83</v>
      </c>
      <c r="J50" s="144" t="s">
        <v>494</v>
      </c>
      <c r="K50" s="134">
        <v>20</v>
      </c>
      <c r="L50" s="134">
        <v>31</v>
      </c>
      <c r="M50" s="134">
        <v>15</v>
      </c>
      <c r="N50" s="134">
        <f t="shared" si="1"/>
        <v>66</v>
      </c>
      <c r="O50" s="134" t="s">
        <v>1227</v>
      </c>
    </row>
    <row r="51" spans="1:15" s="126" customFormat="1" ht="20.100000000000001" customHeight="1">
      <c r="A51" s="131">
        <v>50</v>
      </c>
      <c r="B51" s="144" t="s">
        <v>558</v>
      </c>
      <c r="C51" s="144"/>
      <c r="D51" s="144" t="s">
        <v>168</v>
      </c>
      <c r="E51" s="144" t="s">
        <v>79</v>
      </c>
      <c r="F51" s="144"/>
      <c r="G51" s="144" t="s">
        <v>92</v>
      </c>
      <c r="H51" s="144" t="s">
        <v>52</v>
      </c>
      <c r="I51" s="144" t="s">
        <v>418</v>
      </c>
      <c r="J51" s="144" t="s">
        <v>494</v>
      </c>
      <c r="K51" s="134">
        <v>22.5</v>
      </c>
      <c r="L51" s="134">
        <v>28.5</v>
      </c>
      <c r="M51" s="134">
        <v>14</v>
      </c>
      <c r="N51" s="134">
        <f t="shared" si="1"/>
        <v>65</v>
      </c>
      <c r="O51" s="134"/>
    </row>
    <row r="52" spans="1:15" s="126" customFormat="1" ht="20.100000000000001" customHeight="1">
      <c r="A52" s="131">
        <v>51</v>
      </c>
      <c r="B52" s="144" t="s">
        <v>1261</v>
      </c>
      <c r="C52" s="145"/>
      <c r="D52" s="145"/>
      <c r="E52" s="145"/>
      <c r="F52" s="145"/>
      <c r="G52" s="144" t="s">
        <v>26</v>
      </c>
      <c r="H52" s="144" t="s">
        <v>1186</v>
      </c>
      <c r="I52" s="145"/>
      <c r="J52" s="145"/>
      <c r="K52" s="134">
        <v>22</v>
      </c>
      <c r="L52" s="134">
        <v>29</v>
      </c>
      <c r="M52" s="134">
        <v>12</v>
      </c>
      <c r="N52" s="134">
        <f t="shared" si="1"/>
        <v>63</v>
      </c>
      <c r="O52" s="146" t="s">
        <v>1260</v>
      </c>
    </row>
    <row r="53" spans="1:15" s="126" customFormat="1" ht="20.100000000000001" customHeight="1">
      <c r="A53" s="131">
        <v>52</v>
      </c>
      <c r="B53" s="144" t="s">
        <v>499</v>
      </c>
      <c r="C53" s="144"/>
      <c r="D53" s="144" t="s">
        <v>168</v>
      </c>
      <c r="E53" s="144" t="s">
        <v>79</v>
      </c>
      <c r="F53" s="144"/>
      <c r="G53" s="144" t="s">
        <v>26</v>
      </c>
      <c r="H53" s="144" t="s">
        <v>80</v>
      </c>
      <c r="I53" s="144" t="s">
        <v>81</v>
      </c>
      <c r="J53" s="144" t="s">
        <v>494</v>
      </c>
      <c r="K53" s="134">
        <v>17</v>
      </c>
      <c r="L53" s="134">
        <v>30.25</v>
      </c>
      <c r="M53" s="134">
        <v>14</v>
      </c>
      <c r="N53" s="134">
        <f t="shared" si="1"/>
        <v>61.25</v>
      </c>
      <c r="O53" s="134"/>
    </row>
    <row r="54" spans="1:15" s="126" customFormat="1" ht="20.100000000000001" customHeight="1">
      <c r="A54" s="131">
        <v>53</v>
      </c>
      <c r="B54" s="144" t="s">
        <v>564</v>
      </c>
      <c r="C54" s="144"/>
      <c r="D54" s="144" t="s">
        <v>168</v>
      </c>
      <c r="E54" s="144" t="s">
        <v>79</v>
      </c>
      <c r="F54" s="144"/>
      <c r="G54" s="144" t="s">
        <v>257</v>
      </c>
      <c r="H54" s="144" t="s">
        <v>59</v>
      </c>
      <c r="I54" s="144" t="s">
        <v>156</v>
      </c>
      <c r="J54" s="144" t="s">
        <v>494</v>
      </c>
      <c r="K54" s="134">
        <v>25</v>
      </c>
      <c r="L54" s="134">
        <v>3</v>
      </c>
      <c r="M54" s="134">
        <v>18</v>
      </c>
      <c r="N54" s="134">
        <f t="shared" si="1"/>
        <v>46</v>
      </c>
      <c r="O54" s="134"/>
    </row>
    <row r="55" spans="1:15" s="126" customFormat="1" ht="20.100000000000001" customHeight="1">
      <c r="A55" s="131">
        <v>54</v>
      </c>
      <c r="B55" s="147" t="s">
        <v>599</v>
      </c>
      <c r="C55" s="147"/>
      <c r="D55" s="147" t="s">
        <v>168</v>
      </c>
      <c r="E55" s="147" t="s">
        <v>79</v>
      </c>
      <c r="F55" s="147"/>
      <c r="G55" s="147" t="s">
        <v>25</v>
      </c>
      <c r="H55" s="147" t="s">
        <v>75</v>
      </c>
      <c r="I55" s="147"/>
      <c r="J55" s="147" t="s">
        <v>494</v>
      </c>
      <c r="K55" s="132">
        <v>30</v>
      </c>
      <c r="L55" s="132">
        <v>38</v>
      </c>
      <c r="M55" s="132">
        <v>19</v>
      </c>
      <c r="N55" s="132">
        <f t="shared" si="1"/>
        <v>87</v>
      </c>
      <c r="O55" s="132"/>
    </row>
    <row r="56" spans="1:15" s="126" customFormat="1" ht="20.100000000000001" customHeight="1">
      <c r="A56" s="131">
        <v>55</v>
      </c>
      <c r="B56" s="147" t="s">
        <v>493</v>
      </c>
      <c r="C56" s="147"/>
      <c r="D56" s="147" t="s">
        <v>168</v>
      </c>
      <c r="E56" s="147" t="s">
        <v>79</v>
      </c>
      <c r="F56" s="147"/>
      <c r="G56" s="147" t="s">
        <v>25</v>
      </c>
      <c r="H56" s="147" t="s">
        <v>73</v>
      </c>
      <c r="I56" s="147" t="s">
        <v>83</v>
      </c>
      <c r="J56" s="147" t="s">
        <v>494</v>
      </c>
      <c r="K56" s="132">
        <v>32</v>
      </c>
      <c r="L56" s="132">
        <v>37</v>
      </c>
      <c r="M56" s="132">
        <v>17</v>
      </c>
      <c r="N56" s="132">
        <f t="shared" si="1"/>
        <v>86</v>
      </c>
      <c r="O56" s="132"/>
    </row>
    <row r="57" spans="1:15" s="126" customFormat="1" ht="20.100000000000001" customHeight="1">
      <c r="A57" s="131">
        <v>56</v>
      </c>
      <c r="B57" s="147" t="s">
        <v>586</v>
      </c>
      <c r="C57" s="147"/>
      <c r="D57" s="147" t="s">
        <v>168</v>
      </c>
      <c r="E57" s="147" t="s">
        <v>79</v>
      </c>
      <c r="F57" s="147"/>
      <c r="G57" s="147" t="s">
        <v>25</v>
      </c>
      <c r="H57" s="147" t="s">
        <v>40</v>
      </c>
      <c r="I57" s="147" t="s">
        <v>81</v>
      </c>
      <c r="J57" s="147" t="s">
        <v>494</v>
      </c>
      <c r="K57" s="132">
        <v>27</v>
      </c>
      <c r="L57" s="132">
        <v>34.5</v>
      </c>
      <c r="M57" s="132">
        <v>18</v>
      </c>
      <c r="N57" s="132">
        <f t="shared" si="1"/>
        <v>79.5</v>
      </c>
      <c r="O57" s="132"/>
    </row>
    <row r="58" spans="1:15" s="126" customFormat="1" ht="20.100000000000001" customHeight="1">
      <c r="A58" s="131">
        <v>57</v>
      </c>
      <c r="B58" s="147" t="s">
        <v>588</v>
      </c>
      <c r="C58" s="147"/>
      <c r="D58" s="147" t="s">
        <v>168</v>
      </c>
      <c r="E58" s="147" t="s">
        <v>79</v>
      </c>
      <c r="F58" s="147"/>
      <c r="G58" s="147" t="s">
        <v>25</v>
      </c>
      <c r="H58" s="147" t="s">
        <v>139</v>
      </c>
      <c r="I58" s="147" t="s">
        <v>83</v>
      </c>
      <c r="J58" s="147" t="s">
        <v>494</v>
      </c>
      <c r="K58" s="132">
        <v>27</v>
      </c>
      <c r="L58" s="132">
        <v>35</v>
      </c>
      <c r="M58" s="132">
        <v>17</v>
      </c>
      <c r="N58" s="132">
        <f t="shared" si="1"/>
        <v>79</v>
      </c>
      <c r="O58" s="132"/>
    </row>
    <row r="59" spans="1:15" s="126" customFormat="1" ht="20.100000000000001" customHeight="1">
      <c r="A59" s="131">
        <v>58</v>
      </c>
      <c r="B59" s="147" t="s">
        <v>524</v>
      </c>
      <c r="C59" s="147"/>
      <c r="D59" s="147" t="s">
        <v>168</v>
      </c>
      <c r="E59" s="147" t="s">
        <v>79</v>
      </c>
      <c r="F59" s="147"/>
      <c r="G59" s="147" t="s">
        <v>25</v>
      </c>
      <c r="H59" s="147" t="s">
        <v>118</v>
      </c>
      <c r="I59" s="147" t="s">
        <v>83</v>
      </c>
      <c r="J59" s="147" t="s">
        <v>494</v>
      </c>
      <c r="K59" s="132">
        <v>24</v>
      </c>
      <c r="L59" s="132">
        <v>35</v>
      </c>
      <c r="M59" s="132">
        <v>18</v>
      </c>
      <c r="N59" s="132">
        <f t="shared" si="1"/>
        <v>77</v>
      </c>
      <c r="O59" s="132"/>
    </row>
    <row r="60" spans="1:15" s="126" customFormat="1" ht="20.100000000000001" customHeight="1">
      <c r="A60" s="131">
        <v>59</v>
      </c>
      <c r="B60" s="147" t="s">
        <v>576</v>
      </c>
      <c r="C60" s="147"/>
      <c r="D60" s="147" t="s">
        <v>168</v>
      </c>
      <c r="E60" s="147" t="s">
        <v>79</v>
      </c>
      <c r="F60" s="147"/>
      <c r="G60" s="147" t="s">
        <v>25</v>
      </c>
      <c r="H60" s="147" t="s">
        <v>100</v>
      </c>
      <c r="I60" s="147" t="s">
        <v>83</v>
      </c>
      <c r="J60" s="147" t="s">
        <v>494</v>
      </c>
      <c r="K60" s="132">
        <v>25.5</v>
      </c>
      <c r="L60" s="132">
        <v>33.5</v>
      </c>
      <c r="M60" s="132">
        <v>17</v>
      </c>
      <c r="N60" s="132">
        <f t="shared" si="1"/>
        <v>76</v>
      </c>
      <c r="O60" s="132"/>
    </row>
    <row r="61" spans="1:15" s="126" customFormat="1" ht="20.100000000000001" customHeight="1">
      <c r="A61" s="131">
        <v>60</v>
      </c>
      <c r="B61" s="147" t="s">
        <v>511</v>
      </c>
      <c r="C61" s="147"/>
      <c r="D61" s="147" t="s">
        <v>168</v>
      </c>
      <c r="E61" s="147" t="s">
        <v>79</v>
      </c>
      <c r="F61" s="147"/>
      <c r="G61" s="147" t="s">
        <v>25</v>
      </c>
      <c r="H61" s="147" t="s">
        <v>182</v>
      </c>
      <c r="I61" s="147" t="s">
        <v>83</v>
      </c>
      <c r="J61" s="147" t="s">
        <v>494</v>
      </c>
      <c r="K61" s="132">
        <v>25.25</v>
      </c>
      <c r="L61" s="132">
        <v>33.5</v>
      </c>
      <c r="M61" s="132">
        <v>17</v>
      </c>
      <c r="N61" s="132">
        <f t="shared" si="1"/>
        <v>75.75</v>
      </c>
      <c r="O61" s="132"/>
    </row>
    <row r="62" spans="1:15" s="126" customFormat="1" ht="20.100000000000001" customHeight="1">
      <c r="A62" s="131">
        <v>61</v>
      </c>
      <c r="B62" s="147" t="s">
        <v>500</v>
      </c>
      <c r="C62" s="147"/>
      <c r="D62" s="147" t="s">
        <v>168</v>
      </c>
      <c r="E62" s="147" t="s">
        <v>79</v>
      </c>
      <c r="F62" s="147"/>
      <c r="G62" s="147" t="s">
        <v>25</v>
      </c>
      <c r="H62" s="147" t="s">
        <v>111</v>
      </c>
      <c r="I62" s="147" t="s">
        <v>83</v>
      </c>
      <c r="J62" s="147" t="s">
        <v>494</v>
      </c>
      <c r="K62" s="132">
        <v>25</v>
      </c>
      <c r="L62" s="132">
        <v>34</v>
      </c>
      <c r="M62" s="132">
        <v>16</v>
      </c>
      <c r="N62" s="132">
        <f t="shared" si="1"/>
        <v>75</v>
      </c>
      <c r="O62" s="132"/>
    </row>
    <row r="63" spans="1:15" s="126" customFormat="1" ht="20.100000000000001" customHeight="1">
      <c r="A63" s="131">
        <v>62</v>
      </c>
      <c r="B63" s="147" t="s">
        <v>506</v>
      </c>
      <c r="C63" s="147"/>
      <c r="D63" s="147" t="s">
        <v>168</v>
      </c>
      <c r="E63" s="147" t="s">
        <v>79</v>
      </c>
      <c r="F63" s="147"/>
      <c r="G63" s="147" t="s">
        <v>25</v>
      </c>
      <c r="H63" s="147" t="s">
        <v>113</v>
      </c>
      <c r="I63" s="147" t="s">
        <v>83</v>
      </c>
      <c r="J63" s="147" t="s">
        <v>494</v>
      </c>
      <c r="K63" s="132">
        <v>25</v>
      </c>
      <c r="L63" s="132">
        <v>32</v>
      </c>
      <c r="M63" s="132">
        <v>18</v>
      </c>
      <c r="N63" s="132">
        <f t="shared" si="1"/>
        <v>75</v>
      </c>
      <c r="O63" s="132"/>
    </row>
    <row r="64" spans="1:15" s="126" customFormat="1" ht="20.100000000000001" customHeight="1">
      <c r="A64" s="131">
        <v>63</v>
      </c>
      <c r="B64" s="147" t="s">
        <v>580</v>
      </c>
      <c r="C64" s="147"/>
      <c r="D64" s="147" t="s">
        <v>168</v>
      </c>
      <c r="E64" s="147" t="s">
        <v>79</v>
      </c>
      <c r="F64" s="147"/>
      <c r="G64" s="147" t="s">
        <v>25</v>
      </c>
      <c r="H64" s="147" t="s">
        <v>280</v>
      </c>
      <c r="I64" s="147" t="s">
        <v>83</v>
      </c>
      <c r="J64" s="147" t="s">
        <v>494</v>
      </c>
      <c r="K64" s="132">
        <v>25.25</v>
      </c>
      <c r="L64" s="132">
        <v>32.75</v>
      </c>
      <c r="M64" s="132">
        <v>17</v>
      </c>
      <c r="N64" s="132">
        <f t="shared" si="1"/>
        <v>75</v>
      </c>
      <c r="O64" s="132"/>
    </row>
    <row r="65" spans="1:15" s="126" customFormat="1" ht="20.100000000000001" customHeight="1">
      <c r="A65" s="131">
        <v>64</v>
      </c>
      <c r="B65" s="147" t="s">
        <v>587</v>
      </c>
      <c r="C65" s="147"/>
      <c r="D65" s="147" t="s">
        <v>168</v>
      </c>
      <c r="E65" s="147" t="s">
        <v>79</v>
      </c>
      <c r="F65" s="147"/>
      <c r="G65" s="147" t="s">
        <v>25</v>
      </c>
      <c r="H65" s="147" t="s">
        <v>40</v>
      </c>
      <c r="I65" s="147" t="s">
        <v>83</v>
      </c>
      <c r="J65" s="147" t="s">
        <v>494</v>
      </c>
      <c r="K65" s="132">
        <v>24</v>
      </c>
      <c r="L65" s="132">
        <v>33.75</v>
      </c>
      <c r="M65" s="132">
        <v>17</v>
      </c>
      <c r="N65" s="132">
        <f t="shared" si="1"/>
        <v>74.75</v>
      </c>
      <c r="O65" s="132"/>
    </row>
    <row r="66" spans="1:15" s="126" customFormat="1" ht="20.100000000000001" customHeight="1">
      <c r="A66" s="131">
        <v>65</v>
      </c>
      <c r="B66" s="147" t="s">
        <v>589</v>
      </c>
      <c r="C66" s="147"/>
      <c r="D66" s="147" t="s">
        <v>168</v>
      </c>
      <c r="E66" s="147" t="s">
        <v>79</v>
      </c>
      <c r="F66" s="147"/>
      <c r="G66" s="147" t="s">
        <v>25</v>
      </c>
      <c r="H66" s="147" t="s">
        <v>139</v>
      </c>
      <c r="I66" s="147" t="s">
        <v>83</v>
      </c>
      <c r="J66" s="147" t="s">
        <v>494</v>
      </c>
      <c r="K66" s="132">
        <v>25</v>
      </c>
      <c r="L66" s="132">
        <v>33.25</v>
      </c>
      <c r="M66" s="132">
        <v>16</v>
      </c>
      <c r="N66" s="132">
        <f t="shared" ref="N66:N97" si="2">SUM(K66:M66)</f>
        <v>74.25</v>
      </c>
      <c r="O66" s="132"/>
    </row>
    <row r="67" spans="1:15" s="126" customFormat="1" ht="20.100000000000001" customHeight="1">
      <c r="A67" s="131">
        <v>66</v>
      </c>
      <c r="B67" s="147" t="s">
        <v>560</v>
      </c>
      <c r="C67" s="147"/>
      <c r="D67" s="147" t="s">
        <v>168</v>
      </c>
      <c r="E67" s="147" t="s">
        <v>79</v>
      </c>
      <c r="F67" s="147"/>
      <c r="G67" s="147" t="s">
        <v>95</v>
      </c>
      <c r="H67" s="147" t="s">
        <v>52</v>
      </c>
      <c r="I67" s="147" t="s">
        <v>96</v>
      </c>
      <c r="J67" s="147" t="s">
        <v>494</v>
      </c>
      <c r="K67" s="132">
        <v>25</v>
      </c>
      <c r="L67" s="132">
        <v>31</v>
      </c>
      <c r="M67" s="132">
        <v>18</v>
      </c>
      <c r="N67" s="132">
        <f t="shared" si="2"/>
        <v>74</v>
      </c>
      <c r="O67" s="132"/>
    </row>
    <row r="68" spans="1:15" s="126" customFormat="1" ht="20.100000000000001" customHeight="1">
      <c r="A68" s="131">
        <v>67</v>
      </c>
      <c r="B68" s="147" t="s">
        <v>570</v>
      </c>
      <c r="C68" s="147"/>
      <c r="D68" s="147" t="s">
        <v>168</v>
      </c>
      <c r="E68" s="147" t="s">
        <v>79</v>
      </c>
      <c r="F68" s="147"/>
      <c r="G68" s="147" t="s">
        <v>25</v>
      </c>
      <c r="H68" s="147" t="s">
        <v>55</v>
      </c>
      <c r="I68" s="147" t="s">
        <v>83</v>
      </c>
      <c r="J68" s="147" t="s">
        <v>494</v>
      </c>
      <c r="K68" s="132">
        <v>25</v>
      </c>
      <c r="L68" s="132">
        <v>32.75</v>
      </c>
      <c r="M68" s="132">
        <v>16</v>
      </c>
      <c r="N68" s="132">
        <f t="shared" si="2"/>
        <v>73.75</v>
      </c>
      <c r="O68" s="132"/>
    </row>
    <row r="69" spans="1:15" s="126" customFormat="1" ht="20.100000000000001" customHeight="1">
      <c r="A69" s="131">
        <v>68</v>
      </c>
      <c r="B69" s="147" t="s">
        <v>522</v>
      </c>
      <c r="C69" s="147"/>
      <c r="D69" s="147" t="s">
        <v>168</v>
      </c>
      <c r="E69" s="147" t="s">
        <v>79</v>
      </c>
      <c r="F69" s="147"/>
      <c r="G69" s="147" t="s">
        <v>25</v>
      </c>
      <c r="H69" s="147" t="s">
        <v>72</v>
      </c>
      <c r="I69" s="147"/>
      <c r="J69" s="147" t="s">
        <v>494</v>
      </c>
      <c r="K69" s="132">
        <v>24.5</v>
      </c>
      <c r="L69" s="132">
        <v>32</v>
      </c>
      <c r="M69" s="132">
        <v>16</v>
      </c>
      <c r="N69" s="132">
        <f t="shared" si="2"/>
        <v>72.5</v>
      </c>
      <c r="O69" s="132"/>
    </row>
    <row r="70" spans="1:15" s="126" customFormat="1" ht="20.100000000000001" customHeight="1">
      <c r="A70" s="131">
        <v>69</v>
      </c>
      <c r="B70" s="147" t="s">
        <v>544</v>
      </c>
      <c r="C70" s="147"/>
      <c r="D70" s="147" t="s">
        <v>168</v>
      </c>
      <c r="E70" s="147" t="s">
        <v>79</v>
      </c>
      <c r="F70" s="147"/>
      <c r="G70" s="147" t="s">
        <v>25</v>
      </c>
      <c r="H70" s="147" t="s">
        <v>30</v>
      </c>
      <c r="I70" s="147" t="s">
        <v>83</v>
      </c>
      <c r="J70" s="147" t="s">
        <v>494</v>
      </c>
      <c r="K70" s="132">
        <v>23.5</v>
      </c>
      <c r="L70" s="132">
        <v>34</v>
      </c>
      <c r="M70" s="132">
        <v>15</v>
      </c>
      <c r="N70" s="132">
        <f t="shared" si="2"/>
        <v>72.5</v>
      </c>
      <c r="O70" s="132"/>
    </row>
    <row r="71" spans="1:15" s="126" customFormat="1" ht="20.100000000000001" customHeight="1">
      <c r="A71" s="131">
        <v>70</v>
      </c>
      <c r="B71" s="147" t="s">
        <v>502</v>
      </c>
      <c r="C71" s="147"/>
      <c r="D71" s="147" t="s">
        <v>168</v>
      </c>
      <c r="E71" s="147" t="s">
        <v>79</v>
      </c>
      <c r="F71" s="147"/>
      <c r="G71" s="147" t="s">
        <v>25</v>
      </c>
      <c r="H71" s="147" t="s">
        <v>318</v>
      </c>
      <c r="I71" s="147" t="s">
        <v>86</v>
      </c>
      <c r="J71" s="147" t="s">
        <v>494</v>
      </c>
      <c r="K71" s="132">
        <v>25.75</v>
      </c>
      <c r="L71" s="132">
        <v>30.5</v>
      </c>
      <c r="M71" s="132">
        <v>16</v>
      </c>
      <c r="N71" s="132">
        <f t="shared" si="2"/>
        <v>72.25</v>
      </c>
      <c r="O71" s="132"/>
    </row>
    <row r="72" spans="1:15" s="126" customFormat="1" ht="20.100000000000001" customHeight="1">
      <c r="A72" s="131">
        <v>71</v>
      </c>
      <c r="B72" s="147" t="s">
        <v>529</v>
      </c>
      <c r="C72" s="147"/>
      <c r="D72" s="147" t="s">
        <v>168</v>
      </c>
      <c r="E72" s="147" t="s">
        <v>79</v>
      </c>
      <c r="F72" s="147"/>
      <c r="G72" s="147" t="s">
        <v>25</v>
      </c>
      <c r="H72" s="147" t="s">
        <v>122</v>
      </c>
      <c r="I72" s="147" t="s">
        <v>83</v>
      </c>
      <c r="J72" s="147" t="s">
        <v>494</v>
      </c>
      <c r="K72" s="132">
        <v>23</v>
      </c>
      <c r="L72" s="132">
        <v>34</v>
      </c>
      <c r="M72" s="132">
        <v>15</v>
      </c>
      <c r="N72" s="132">
        <f t="shared" si="2"/>
        <v>72</v>
      </c>
      <c r="O72" s="132"/>
    </row>
    <row r="73" spans="1:15" s="126" customFormat="1" ht="20.100000000000001" customHeight="1">
      <c r="A73" s="131">
        <v>72</v>
      </c>
      <c r="B73" s="147" t="s">
        <v>545</v>
      </c>
      <c r="C73" s="147"/>
      <c r="D73" s="147" t="s">
        <v>168</v>
      </c>
      <c r="E73" s="147" t="s">
        <v>79</v>
      </c>
      <c r="F73" s="147"/>
      <c r="G73" s="147" t="s">
        <v>25</v>
      </c>
      <c r="H73" s="147" t="s">
        <v>64</v>
      </c>
      <c r="I73" s="147" t="s">
        <v>153</v>
      </c>
      <c r="J73" s="147" t="s">
        <v>494</v>
      </c>
      <c r="K73" s="132">
        <v>24</v>
      </c>
      <c r="L73" s="132">
        <v>31</v>
      </c>
      <c r="M73" s="132">
        <v>17</v>
      </c>
      <c r="N73" s="132">
        <f t="shared" si="2"/>
        <v>72</v>
      </c>
      <c r="O73" s="132"/>
    </row>
    <row r="74" spans="1:15" s="126" customFormat="1" ht="20.100000000000001" customHeight="1">
      <c r="A74" s="131">
        <v>73</v>
      </c>
      <c r="B74" s="147" t="s">
        <v>562</v>
      </c>
      <c r="C74" s="147"/>
      <c r="D74" s="147" t="s">
        <v>168</v>
      </c>
      <c r="E74" s="147" t="s">
        <v>79</v>
      </c>
      <c r="F74" s="147"/>
      <c r="G74" s="147" t="s">
        <v>25</v>
      </c>
      <c r="H74" s="147" t="s">
        <v>60</v>
      </c>
      <c r="I74" s="147" t="s">
        <v>83</v>
      </c>
      <c r="J74" s="147" t="s">
        <v>494</v>
      </c>
      <c r="K74" s="132">
        <v>25</v>
      </c>
      <c r="L74" s="132">
        <v>31</v>
      </c>
      <c r="M74" s="132">
        <v>16</v>
      </c>
      <c r="N74" s="132">
        <f t="shared" si="2"/>
        <v>72</v>
      </c>
      <c r="O74" s="132"/>
    </row>
    <row r="75" spans="1:15" s="126" customFormat="1" ht="20.100000000000001" customHeight="1">
      <c r="A75" s="131">
        <v>74</v>
      </c>
      <c r="B75" s="147" t="s">
        <v>567</v>
      </c>
      <c r="C75" s="147"/>
      <c r="D75" s="147" t="s">
        <v>168</v>
      </c>
      <c r="E75" s="147" t="s">
        <v>79</v>
      </c>
      <c r="F75" s="147"/>
      <c r="G75" s="147" t="s">
        <v>25</v>
      </c>
      <c r="H75" s="147" t="s">
        <v>34</v>
      </c>
      <c r="I75" s="147" t="s">
        <v>96</v>
      </c>
      <c r="J75" s="147" t="s">
        <v>494</v>
      </c>
      <c r="K75" s="132">
        <v>25</v>
      </c>
      <c r="L75" s="132">
        <v>31</v>
      </c>
      <c r="M75" s="132">
        <v>16</v>
      </c>
      <c r="N75" s="132">
        <f t="shared" si="2"/>
        <v>72</v>
      </c>
      <c r="O75" s="132"/>
    </row>
    <row r="76" spans="1:15" s="126" customFormat="1" ht="20.100000000000001" customHeight="1">
      <c r="A76" s="131">
        <v>75</v>
      </c>
      <c r="B76" s="147" t="s">
        <v>565</v>
      </c>
      <c r="C76" s="147"/>
      <c r="D76" s="147" t="s">
        <v>168</v>
      </c>
      <c r="E76" s="147" t="s">
        <v>79</v>
      </c>
      <c r="F76" s="147"/>
      <c r="G76" s="147" t="s">
        <v>259</v>
      </c>
      <c r="H76" s="147" t="s">
        <v>59</v>
      </c>
      <c r="I76" s="147" t="s">
        <v>136</v>
      </c>
      <c r="J76" s="147" t="s">
        <v>566</v>
      </c>
      <c r="K76" s="132">
        <v>24.5</v>
      </c>
      <c r="L76" s="132">
        <v>30</v>
      </c>
      <c r="M76" s="132">
        <v>17</v>
      </c>
      <c r="N76" s="132">
        <f t="shared" si="2"/>
        <v>71.5</v>
      </c>
      <c r="O76" s="132"/>
    </row>
    <row r="77" spans="1:15" s="126" customFormat="1" ht="20.100000000000001" customHeight="1">
      <c r="A77" s="131">
        <v>76</v>
      </c>
      <c r="B77" s="147" t="s">
        <v>561</v>
      </c>
      <c r="C77" s="147"/>
      <c r="D77" s="147" t="s">
        <v>168</v>
      </c>
      <c r="E77" s="147" t="s">
        <v>79</v>
      </c>
      <c r="F77" s="147"/>
      <c r="G77" s="147" t="s">
        <v>25</v>
      </c>
      <c r="H77" s="147" t="s">
        <v>60</v>
      </c>
      <c r="I77" s="147" t="s">
        <v>83</v>
      </c>
      <c r="J77" s="147" t="s">
        <v>494</v>
      </c>
      <c r="K77" s="132">
        <v>23.5</v>
      </c>
      <c r="L77" s="132">
        <v>33</v>
      </c>
      <c r="M77" s="132">
        <v>15</v>
      </c>
      <c r="N77" s="132">
        <f t="shared" si="2"/>
        <v>71.5</v>
      </c>
      <c r="O77" s="132"/>
    </row>
    <row r="78" spans="1:15" s="126" customFormat="1" ht="20.100000000000001" customHeight="1">
      <c r="A78" s="131">
        <v>77</v>
      </c>
      <c r="B78" s="147" t="s">
        <v>577</v>
      </c>
      <c r="C78" s="147"/>
      <c r="D78" s="147" t="s">
        <v>168</v>
      </c>
      <c r="E78" s="147" t="s">
        <v>79</v>
      </c>
      <c r="F78" s="147"/>
      <c r="G78" s="147" t="s">
        <v>25</v>
      </c>
      <c r="H78" s="147" t="s">
        <v>100</v>
      </c>
      <c r="I78" s="147" t="s">
        <v>86</v>
      </c>
      <c r="J78" s="147" t="s">
        <v>494</v>
      </c>
      <c r="K78" s="132">
        <v>25</v>
      </c>
      <c r="L78" s="132">
        <v>32.5</v>
      </c>
      <c r="M78" s="132">
        <v>14</v>
      </c>
      <c r="N78" s="132">
        <f t="shared" si="2"/>
        <v>71.5</v>
      </c>
      <c r="O78" s="132"/>
    </row>
    <row r="79" spans="1:15" s="126" customFormat="1" ht="20.100000000000001" customHeight="1">
      <c r="A79" s="131">
        <v>78</v>
      </c>
      <c r="B79" s="147" t="s">
        <v>520</v>
      </c>
      <c r="C79" s="147"/>
      <c r="D79" s="147" t="s">
        <v>168</v>
      </c>
      <c r="E79" s="147" t="s">
        <v>79</v>
      </c>
      <c r="F79" s="147"/>
      <c r="G79" s="147" t="s">
        <v>25</v>
      </c>
      <c r="H79" s="147" t="s">
        <v>196</v>
      </c>
      <c r="I79" s="147" t="s">
        <v>83</v>
      </c>
      <c r="J79" s="147" t="s">
        <v>494</v>
      </c>
      <c r="K79" s="132">
        <v>23.75</v>
      </c>
      <c r="L79" s="132">
        <v>32.5</v>
      </c>
      <c r="M79" s="132">
        <v>15</v>
      </c>
      <c r="N79" s="132">
        <f t="shared" si="2"/>
        <v>71.25</v>
      </c>
      <c r="O79" s="132"/>
    </row>
    <row r="80" spans="1:15" s="126" customFormat="1" ht="20.100000000000001" customHeight="1">
      <c r="A80" s="131">
        <v>79</v>
      </c>
      <c r="B80" s="147" t="s">
        <v>600</v>
      </c>
      <c r="C80" s="147"/>
      <c r="D80" s="147" t="s">
        <v>168</v>
      </c>
      <c r="E80" s="147" t="s">
        <v>79</v>
      </c>
      <c r="F80" s="147"/>
      <c r="G80" s="147" t="s">
        <v>25</v>
      </c>
      <c r="H80" s="147" t="s">
        <v>75</v>
      </c>
      <c r="I80" s="147"/>
      <c r="J80" s="147" t="s">
        <v>494</v>
      </c>
      <c r="K80" s="132">
        <v>25.25</v>
      </c>
      <c r="L80" s="132">
        <v>29.5</v>
      </c>
      <c r="M80" s="132">
        <v>16</v>
      </c>
      <c r="N80" s="132">
        <f t="shared" si="2"/>
        <v>70.75</v>
      </c>
      <c r="O80" s="132"/>
    </row>
    <row r="81" spans="1:15" s="126" customFormat="1" ht="20.100000000000001" customHeight="1">
      <c r="A81" s="131">
        <v>80</v>
      </c>
      <c r="B81" s="147" t="s">
        <v>505</v>
      </c>
      <c r="C81" s="147"/>
      <c r="D81" s="147" t="s">
        <v>168</v>
      </c>
      <c r="E81" s="147" t="s">
        <v>79</v>
      </c>
      <c r="F81" s="147"/>
      <c r="G81" s="147" t="s">
        <v>25</v>
      </c>
      <c r="H81" s="147" t="s">
        <v>113</v>
      </c>
      <c r="I81" s="147" t="s">
        <v>83</v>
      </c>
      <c r="J81" s="147" t="s">
        <v>494</v>
      </c>
      <c r="K81" s="132">
        <v>24</v>
      </c>
      <c r="L81" s="132">
        <v>31</v>
      </c>
      <c r="M81" s="132">
        <v>15</v>
      </c>
      <c r="N81" s="132">
        <f t="shared" si="2"/>
        <v>70</v>
      </c>
      <c r="O81" s="132"/>
    </row>
    <row r="82" spans="1:15" s="126" customFormat="1" ht="20.100000000000001" customHeight="1">
      <c r="A82" s="131">
        <v>81</v>
      </c>
      <c r="B82" s="147" t="s">
        <v>517</v>
      </c>
      <c r="C82" s="147"/>
      <c r="D82" s="147" t="s">
        <v>168</v>
      </c>
      <c r="E82" s="147" t="s">
        <v>79</v>
      </c>
      <c r="F82" s="147"/>
      <c r="G82" s="147" t="s">
        <v>25</v>
      </c>
      <c r="H82" s="147" t="s">
        <v>56</v>
      </c>
      <c r="I82" s="147" t="s">
        <v>83</v>
      </c>
      <c r="J82" s="147" t="s">
        <v>494</v>
      </c>
      <c r="K82" s="132">
        <v>25</v>
      </c>
      <c r="L82" s="132">
        <v>30.5</v>
      </c>
      <c r="M82" s="132">
        <v>14</v>
      </c>
      <c r="N82" s="132">
        <f t="shared" si="2"/>
        <v>69.5</v>
      </c>
      <c r="O82" s="132"/>
    </row>
    <row r="83" spans="1:15" s="126" customFormat="1" ht="20.100000000000001" customHeight="1">
      <c r="A83" s="131">
        <v>82</v>
      </c>
      <c r="B83" s="147" t="s">
        <v>554</v>
      </c>
      <c r="C83" s="147"/>
      <c r="D83" s="147" t="s">
        <v>168</v>
      </c>
      <c r="E83" s="147" t="s">
        <v>79</v>
      </c>
      <c r="F83" s="147"/>
      <c r="G83" s="147" t="s">
        <v>25</v>
      </c>
      <c r="H83" s="147" t="s">
        <v>61</v>
      </c>
      <c r="I83" s="147" t="s">
        <v>86</v>
      </c>
      <c r="J83" s="147" t="s">
        <v>494</v>
      </c>
      <c r="K83" s="132">
        <v>23.5</v>
      </c>
      <c r="L83" s="132">
        <v>31</v>
      </c>
      <c r="M83" s="132">
        <v>15</v>
      </c>
      <c r="N83" s="132">
        <f t="shared" si="2"/>
        <v>69.5</v>
      </c>
      <c r="O83" s="132"/>
    </row>
    <row r="84" spans="1:15" s="126" customFormat="1" ht="20.100000000000001" customHeight="1">
      <c r="A84" s="131">
        <v>83</v>
      </c>
      <c r="B84" s="147" t="s">
        <v>595</v>
      </c>
      <c r="C84" s="147"/>
      <c r="D84" s="147" t="s">
        <v>168</v>
      </c>
      <c r="E84" s="147" t="s">
        <v>79</v>
      </c>
      <c r="F84" s="147"/>
      <c r="G84" s="147" t="s">
        <v>25</v>
      </c>
      <c r="H84" s="147" t="s">
        <v>71</v>
      </c>
      <c r="I84" s="147" t="s">
        <v>83</v>
      </c>
      <c r="J84" s="147" t="s">
        <v>494</v>
      </c>
      <c r="K84" s="132">
        <v>22.5</v>
      </c>
      <c r="L84" s="132">
        <v>31</v>
      </c>
      <c r="M84" s="132">
        <v>16</v>
      </c>
      <c r="N84" s="132">
        <f t="shared" si="2"/>
        <v>69.5</v>
      </c>
      <c r="O84" s="132"/>
    </row>
    <row r="85" spans="1:15" s="126" customFormat="1" ht="20.100000000000001" customHeight="1">
      <c r="A85" s="131">
        <v>84</v>
      </c>
      <c r="B85" s="147" t="s">
        <v>559</v>
      </c>
      <c r="C85" s="147"/>
      <c r="D85" s="147" t="s">
        <v>168</v>
      </c>
      <c r="E85" s="147" t="s">
        <v>79</v>
      </c>
      <c r="F85" s="147"/>
      <c r="G85" s="147" t="s">
        <v>95</v>
      </c>
      <c r="H85" s="147" t="s">
        <v>52</v>
      </c>
      <c r="I85" s="147" t="s">
        <v>96</v>
      </c>
      <c r="J85" s="147" t="s">
        <v>494</v>
      </c>
      <c r="K85" s="132">
        <v>23.5</v>
      </c>
      <c r="L85" s="132">
        <v>30</v>
      </c>
      <c r="M85" s="132">
        <v>16</v>
      </c>
      <c r="N85" s="132">
        <f t="shared" si="2"/>
        <v>69.5</v>
      </c>
      <c r="O85" s="132"/>
    </row>
    <row r="86" spans="1:15" s="126" customFormat="1" ht="20.100000000000001" customHeight="1">
      <c r="A86" s="131">
        <v>85</v>
      </c>
      <c r="B86" s="147" t="s">
        <v>540</v>
      </c>
      <c r="C86" s="147"/>
      <c r="D86" s="147" t="s">
        <v>168</v>
      </c>
      <c r="E86" s="147" t="s">
        <v>79</v>
      </c>
      <c r="F86" s="147"/>
      <c r="G86" s="147" t="s">
        <v>25</v>
      </c>
      <c r="H86" s="147" t="s">
        <v>32</v>
      </c>
      <c r="I86" s="147" t="s">
        <v>86</v>
      </c>
      <c r="J86" s="147" t="s">
        <v>494</v>
      </c>
      <c r="K86" s="132">
        <v>22</v>
      </c>
      <c r="L86" s="132">
        <v>31.25</v>
      </c>
      <c r="M86" s="132">
        <v>16</v>
      </c>
      <c r="N86" s="132">
        <f t="shared" si="2"/>
        <v>69.25</v>
      </c>
      <c r="O86" s="132"/>
    </row>
    <row r="87" spans="1:15" s="126" customFormat="1" ht="20.100000000000001" customHeight="1">
      <c r="A87" s="131">
        <v>86</v>
      </c>
      <c r="B87" s="147" t="s">
        <v>578</v>
      </c>
      <c r="C87" s="147"/>
      <c r="D87" s="147" t="s">
        <v>168</v>
      </c>
      <c r="E87" s="147" t="s">
        <v>79</v>
      </c>
      <c r="F87" s="147"/>
      <c r="G87" s="147" t="s">
        <v>25</v>
      </c>
      <c r="H87" s="147" t="s">
        <v>137</v>
      </c>
      <c r="I87" s="147" t="s">
        <v>83</v>
      </c>
      <c r="J87" s="147" t="s">
        <v>494</v>
      </c>
      <c r="K87" s="132">
        <v>23.5</v>
      </c>
      <c r="L87" s="132">
        <v>31.25</v>
      </c>
      <c r="M87" s="132">
        <v>14</v>
      </c>
      <c r="N87" s="132">
        <f t="shared" si="2"/>
        <v>68.75</v>
      </c>
      <c r="O87" s="132"/>
    </row>
    <row r="88" spans="1:15" s="126" customFormat="1" ht="20.100000000000001" customHeight="1">
      <c r="A88" s="131">
        <v>87</v>
      </c>
      <c r="B88" s="147" t="s">
        <v>596</v>
      </c>
      <c r="C88" s="147"/>
      <c r="D88" s="147" t="s">
        <v>168</v>
      </c>
      <c r="E88" s="147" t="s">
        <v>79</v>
      </c>
      <c r="F88" s="147"/>
      <c r="G88" s="147" t="s">
        <v>25</v>
      </c>
      <c r="H88" s="147" t="s">
        <v>71</v>
      </c>
      <c r="I88" s="147" t="s">
        <v>81</v>
      </c>
      <c r="J88" s="147" t="s">
        <v>494</v>
      </c>
      <c r="K88" s="132">
        <v>23</v>
      </c>
      <c r="L88" s="132">
        <v>30.5</v>
      </c>
      <c r="M88" s="132">
        <v>15</v>
      </c>
      <c r="N88" s="132">
        <f t="shared" si="2"/>
        <v>68.5</v>
      </c>
      <c r="O88" s="132"/>
    </row>
    <row r="89" spans="1:15" s="126" customFormat="1" ht="20.100000000000001" customHeight="1">
      <c r="A89" s="131">
        <v>88</v>
      </c>
      <c r="B89" s="147" t="s">
        <v>533</v>
      </c>
      <c r="C89" s="147"/>
      <c r="D89" s="147" t="s">
        <v>168</v>
      </c>
      <c r="E89" s="147" t="s">
        <v>79</v>
      </c>
      <c r="F89" s="147"/>
      <c r="G89" s="147" t="s">
        <v>25</v>
      </c>
      <c r="H89" s="147" t="s">
        <v>123</v>
      </c>
      <c r="I89" s="147" t="s">
        <v>86</v>
      </c>
      <c r="J89" s="147" t="s">
        <v>494</v>
      </c>
      <c r="K89" s="132">
        <v>23.25</v>
      </c>
      <c r="L89" s="132">
        <v>30</v>
      </c>
      <c r="M89" s="132">
        <v>15</v>
      </c>
      <c r="N89" s="132">
        <f t="shared" si="2"/>
        <v>68.25</v>
      </c>
      <c r="O89" s="132"/>
    </row>
    <row r="90" spans="1:15" s="126" customFormat="1" ht="20.100000000000001" customHeight="1">
      <c r="A90" s="131">
        <v>89</v>
      </c>
      <c r="B90" s="147" t="s">
        <v>541</v>
      </c>
      <c r="C90" s="147"/>
      <c r="D90" s="147" t="s">
        <v>168</v>
      </c>
      <c r="E90" s="147" t="s">
        <v>79</v>
      </c>
      <c r="F90" s="147"/>
      <c r="G90" s="147" t="s">
        <v>25</v>
      </c>
      <c r="H90" s="147" t="s">
        <v>32</v>
      </c>
      <c r="I90" s="147" t="s">
        <v>81</v>
      </c>
      <c r="J90" s="147" t="s">
        <v>494</v>
      </c>
      <c r="K90" s="132">
        <v>23</v>
      </c>
      <c r="L90" s="132">
        <v>30</v>
      </c>
      <c r="M90" s="132">
        <v>15</v>
      </c>
      <c r="N90" s="132">
        <f t="shared" si="2"/>
        <v>68</v>
      </c>
      <c r="O90" s="132"/>
    </row>
    <row r="91" spans="1:15" s="126" customFormat="1" ht="20.100000000000001" customHeight="1">
      <c r="A91" s="131">
        <v>90</v>
      </c>
      <c r="B91" s="147" t="s">
        <v>601</v>
      </c>
      <c r="C91" s="147"/>
      <c r="D91" s="147" t="s">
        <v>168</v>
      </c>
      <c r="E91" s="147" t="s">
        <v>79</v>
      </c>
      <c r="F91" s="147"/>
      <c r="G91" s="147" t="s">
        <v>25</v>
      </c>
      <c r="H91" s="147" t="s">
        <v>107</v>
      </c>
      <c r="I91" s="147" t="s">
        <v>83</v>
      </c>
      <c r="J91" s="147" t="s">
        <v>494</v>
      </c>
      <c r="K91" s="132">
        <v>24</v>
      </c>
      <c r="L91" s="132">
        <v>30</v>
      </c>
      <c r="M91" s="132">
        <v>13</v>
      </c>
      <c r="N91" s="132">
        <f t="shared" si="2"/>
        <v>67</v>
      </c>
      <c r="O91" s="132"/>
    </row>
    <row r="92" spans="1:15" s="126" customFormat="1" ht="20.100000000000001" customHeight="1">
      <c r="A92" s="131">
        <v>91</v>
      </c>
      <c r="B92" s="147" t="s">
        <v>539</v>
      </c>
      <c r="C92" s="147"/>
      <c r="D92" s="147" t="s">
        <v>168</v>
      </c>
      <c r="E92" s="147" t="s">
        <v>79</v>
      </c>
      <c r="F92" s="147"/>
      <c r="G92" s="147" t="s">
        <v>25</v>
      </c>
      <c r="H92" s="147" t="s">
        <v>65</v>
      </c>
      <c r="I92" s="147" t="s">
        <v>83</v>
      </c>
      <c r="J92" s="147" t="s">
        <v>494</v>
      </c>
      <c r="K92" s="132">
        <v>22.75</v>
      </c>
      <c r="L92" s="132">
        <v>30</v>
      </c>
      <c r="M92" s="132">
        <v>14</v>
      </c>
      <c r="N92" s="132">
        <f t="shared" si="2"/>
        <v>66.75</v>
      </c>
      <c r="O92" s="132"/>
    </row>
    <row r="93" spans="1:15" s="126" customFormat="1" ht="20.100000000000001" customHeight="1">
      <c r="A93" s="131">
        <v>92</v>
      </c>
      <c r="B93" s="147" t="s">
        <v>574</v>
      </c>
      <c r="C93" s="147"/>
      <c r="D93" s="147" t="s">
        <v>168</v>
      </c>
      <c r="E93" s="147" t="s">
        <v>79</v>
      </c>
      <c r="F93" s="147"/>
      <c r="G93" s="147" t="s">
        <v>25</v>
      </c>
      <c r="H93" s="147" t="s">
        <v>27</v>
      </c>
      <c r="I93" s="147" t="s">
        <v>81</v>
      </c>
      <c r="J93" s="147" t="s">
        <v>494</v>
      </c>
      <c r="K93" s="132">
        <v>22</v>
      </c>
      <c r="L93" s="132">
        <v>30.25</v>
      </c>
      <c r="M93" s="132">
        <v>14</v>
      </c>
      <c r="N93" s="132">
        <f t="shared" si="2"/>
        <v>66.25</v>
      </c>
      <c r="O93" s="132"/>
    </row>
    <row r="94" spans="1:15" s="126" customFormat="1" ht="20.100000000000001" customHeight="1">
      <c r="A94" s="131">
        <v>93</v>
      </c>
      <c r="B94" s="147" t="s">
        <v>534</v>
      </c>
      <c r="C94" s="147"/>
      <c r="D94" s="147" t="s">
        <v>168</v>
      </c>
      <c r="E94" s="147" t="s">
        <v>79</v>
      </c>
      <c r="F94" s="147"/>
      <c r="G94" s="147" t="s">
        <v>25</v>
      </c>
      <c r="H94" s="147" t="s">
        <v>123</v>
      </c>
      <c r="I94" s="147" t="s">
        <v>83</v>
      </c>
      <c r="J94" s="147" t="s">
        <v>494</v>
      </c>
      <c r="K94" s="132">
        <v>23.5</v>
      </c>
      <c r="L94" s="132">
        <v>27</v>
      </c>
      <c r="M94" s="132">
        <v>15</v>
      </c>
      <c r="N94" s="132">
        <f t="shared" si="2"/>
        <v>65.5</v>
      </c>
      <c r="O94" s="132"/>
    </row>
    <row r="95" spans="1:15" s="126" customFormat="1" ht="20.100000000000001" customHeight="1">
      <c r="A95" s="131">
        <v>94</v>
      </c>
      <c r="B95" s="147" t="s">
        <v>503</v>
      </c>
      <c r="C95" s="147"/>
      <c r="D95" s="147" t="s">
        <v>168</v>
      </c>
      <c r="E95" s="147" t="s">
        <v>79</v>
      </c>
      <c r="F95" s="147"/>
      <c r="G95" s="147" t="s">
        <v>25</v>
      </c>
      <c r="H95" s="147" t="s">
        <v>504</v>
      </c>
      <c r="I95" s="147" t="s">
        <v>83</v>
      </c>
      <c r="J95" s="147" t="s">
        <v>494</v>
      </c>
      <c r="K95" s="132">
        <v>23.5</v>
      </c>
      <c r="L95" s="132">
        <v>28.5</v>
      </c>
      <c r="M95" s="132">
        <v>13</v>
      </c>
      <c r="N95" s="132">
        <f t="shared" si="2"/>
        <v>65</v>
      </c>
      <c r="O95" s="132"/>
    </row>
    <row r="96" spans="1:15" s="126" customFormat="1" ht="20.100000000000001" customHeight="1">
      <c r="A96" s="131">
        <v>95</v>
      </c>
      <c r="B96" s="148" t="s">
        <v>1239</v>
      </c>
      <c r="C96" s="149"/>
      <c r="D96" s="123" t="s">
        <v>168</v>
      </c>
      <c r="E96" s="123" t="s">
        <v>79</v>
      </c>
      <c r="F96" s="123"/>
      <c r="G96" s="123" t="s">
        <v>25</v>
      </c>
      <c r="H96" s="123" t="s">
        <v>1240</v>
      </c>
      <c r="I96" s="150"/>
      <c r="J96" s="150"/>
      <c r="K96" s="132">
        <v>23</v>
      </c>
      <c r="L96" s="132">
        <v>30</v>
      </c>
      <c r="M96" s="132">
        <v>12</v>
      </c>
      <c r="N96" s="132">
        <f t="shared" si="2"/>
        <v>65</v>
      </c>
      <c r="O96" s="150"/>
    </row>
    <row r="97" spans="1:16" s="126" customFormat="1" ht="20.100000000000001" customHeight="1">
      <c r="A97" s="131">
        <v>96</v>
      </c>
      <c r="B97" s="147" t="s">
        <v>515</v>
      </c>
      <c r="C97" s="147"/>
      <c r="D97" s="147" t="s">
        <v>168</v>
      </c>
      <c r="E97" s="147" t="s">
        <v>79</v>
      </c>
      <c r="F97" s="147"/>
      <c r="G97" s="147" t="s">
        <v>25</v>
      </c>
      <c r="H97" s="147" t="s">
        <v>78</v>
      </c>
      <c r="I97" s="147" t="s">
        <v>86</v>
      </c>
      <c r="J97" s="147" t="s">
        <v>494</v>
      </c>
      <c r="K97" s="132">
        <v>23</v>
      </c>
      <c r="L97" s="132">
        <v>29.5</v>
      </c>
      <c r="M97" s="132">
        <v>12</v>
      </c>
      <c r="N97" s="132">
        <f t="shared" si="2"/>
        <v>64.5</v>
      </c>
      <c r="O97" s="132"/>
    </row>
    <row r="98" spans="1:16" s="126" customFormat="1" ht="20.100000000000001" customHeight="1">
      <c r="A98" s="131">
        <v>97</v>
      </c>
      <c r="B98" s="147" t="s">
        <v>530</v>
      </c>
      <c r="C98" s="147"/>
      <c r="D98" s="147" t="s">
        <v>168</v>
      </c>
      <c r="E98" s="147" t="s">
        <v>79</v>
      </c>
      <c r="F98" s="147"/>
      <c r="G98" s="147" t="s">
        <v>25</v>
      </c>
      <c r="H98" s="147" t="s">
        <v>122</v>
      </c>
      <c r="I98" s="147" t="s">
        <v>83</v>
      </c>
      <c r="J98" s="147" t="s">
        <v>494</v>
      </c>
      <c r="K98" s="132">
        <v>22.75</v>
      </c>
      <c r="L98" s="132">
        <v>29</v>
      </c>
      <c r="M98" s="132">
        <v>12</v>
      </c>
      <c r="N98" s="132">
        <f t="shared" ref="N98:N109" si="3">SUM(K98:M98)</f>
        <v>63.75</v>
      </c>
      <c r="O98" s="132"/>
    </row>
    <row r="99" spans="1:16" s="126" customFormat="1" ht="20.100000000000001" customHeight="1">
      <c r="A99" s="131">
        <v>98</v>
      </c>
      <c r="B99" s="147" t="s">
        <v>497</v>
      </c>
      <c r="C99" s="147"/>
      <c r="D99" s="147" t="s">
        <v>168</v>
      </c>
      <c r="E99" s="147" t="s">
        <v>79</v>
      </c>
      <c r="F99" s="147"/>
      <c r="G99" s="147" t="s">
        <v>25</v>
      </c>
      <c r="H99" s="147" t="s">
        <v>80</v>
      </c>
      <c r="I99" s="147" t="s">
        <v>83</v>
      </c>
      <c r="J99" s="147" t="s">
        <v>494</v>
      </c>
      <c r="K99" s="132">
        <v>24.25</v>
      </c>
      <c r="L99" s="132">
        <v>29</v>
      </c>
      <c r="M99" s="132">
        <v>10</v>
      </c>
      <c r="N99" s="132">
        <f t="shared" si="3"/>
        <v>63.25</v>
      </c>
      <c r="O99" s="132"/>
    </row>
    <row r="100" spans="1:16" s="126" customFormat="1" ht="20.100000000000001" customHeight="1">
      <c r="A100" s="131">
        <v>99</v>
      </c>
      <c r="B100" s="147" t="s">
        <v>514</v>
      </c>
      <c r="C100" s="147"/>
      <c r="D100" s="147" t="s">
        <v>168</v>
      </c>
      <c r="E100" s="147" t="s">
        <v>79</v>
      </c>
      <c r="F100" s="147"/>
      <c r="G100" s="147" t="s">
        <v>25</v>
      </c>
      <c r="H100" s="147" t="s">
        <v>78</v>
      </c>
      <c r="I100" s="147" t="s">
        <v>83</v>
      </c>
      <c r="J100" s="147" t="s">
        <v>494</v>
      </c>
      <c r="K100" s="132">
        <v>22</v>
      </c>
      <c r="L100" s="132">
        <v>28</v>
      </c>
      <c r="M100" s="132">
        <v>13</v>
      </c>
      <c r="N100" s="132">
        <f t="shared" si="3"/>
        <v>63</v>
      </c>
      <c r="O100" s="132" t="s">
        <v>920</v>
      </c>
    </row>
    <row r="101" spans="1:16" s="126" customFormat="1" ht="20.100000000000001" customHeight="1">
      <c r="A101" s="131">
        <v>100</v>
      </c>
      <c r="B101" s="147" t="s">
        <v>571</v>
      </c>
      <c r="C101" s="147"/>
      <c r="D101" s="147" t="s">
        <v>168</v>
      </c>
      <c r="E101" s="147" t="s">
        <v>79</v>
      </c>
      <c r="F101" s="147"/>
      <c r="G101" s="147" t="s">
        <v>25</v>
      </c>
      <c r="H101" s="147" t="s">
        <v>55</v>
      </c>
      <c r="I101" s="147" t="s">
        <v>83</v>
      </c>
      <c r="J101" s="147" t="s">
        <v>494</v>
      </c>
      <c r="K101" s="132">
        <v>21</v>
      </c>
      <c r="L101" s="132">
        <v>29</v>
      </c>
      <c r="M101" s="132">
        <v>13</v>
      </c>
      <c r="N101" s="132">
        <f t="shared" si="3"/>
        <v>63</v>
      </c>
      <c r="O101" s="132"/>
    </row>
    <row r="102" spans="1:16" s="126" customFormat="1" ht="20.100000000000001" customHeight="1">
      <c r="A102" s="131">
        <v>101</v>
      </c>
      <c r="B102" s="147" t="s">
        <v>573</v>
      </c>
      <c r="C102" s="147"/>
      <c r="D102" s="147" t="s">
        <v>168</v>
      </c>
      <c r="E102" s="147" t="s">
        <v>79</v>
      </c>
      <c r="F102" s="147"/>
      <c r="G102" s="147" t="s">
        <v>25</v>
      </c>
      <c r="H102" s="147" t="s">
        <v>27</v>
      </c>
      <c r="I102" s="147" t="s">
        <v>83</v>
      </c>
      <c r="J102" s="147" t="s">
        <v>494</v>
      </c>
      <c r="K102" s="132">
        <v>20</v>
      </c>
      <c r="L102" s="132">
        <v>28.75</v>
      </c>
      <c r="M102" s="132">
        <v>14</v>
      </c>
      <c r="N102" s="132">
        <f t="shared" si="3"/>
        <v>62.75</v>
      </c>
      <c r="O102" s="132"/>
    </row>
    <row r="103" spans="1:16" s="126" customFormat="1" ht="20.100000000000001" customHeight="1">
      <c r="A103" s="131">
        <v>102</v>
      </c>
      <c r="B103" s="147" t="s">
        <v>537</v>
      </c>
      <c r="C103" s="147"/>
      <c r="D103" s="147" t="s">
        <v>168</v>
      </c>
      <c r="E103" s="147" t="s">
        <v>79</v>
      </c>
      <c r="F103" s="147"/>
      <c r="G103" s="147" t="s">
        <v>25</v>
      </c>
      <c r="H103" s="147" t="s">
        <v>126</v>
      </c>
      <c r="I103" s="147" t="s">
        <v>240</v>
      </c>
      <c r="J103" s="147" t="s">
        <v>494</v>
      </c>
      <c r="K103" s="132">
        <v>21</v>
      </c>
      <c r="L103" s="132">
        <v>28</v>
      </c>
      <c r="M103" s="132">
        <v>12</v>
      </c>
      <c r="N103" s="132">
        <f t="shared" si="3"/>
        <v>61</v>
      </c>
      <c r="O103" s="132"/>
    </row>
    <row r="104" spans="1:16" s="126" customFormat="1" ht="20.100000000000001" customHeight="1">
      <c r="A104" s="131">
        <v>103</v>
      </c>
      <c r="B104" s="147" t="s">
        <v>496</v>
      </c>
      <c r="C104" s="147"/>
      <c r="D104" s="147" t="s">
        <v>168</v>
      </c>
      <c r="E104" s="147" t="s">
        <v>79</v>
      </c>
      <c r="F104" s="147"/>
      <c r="G104" s="147" t="s">
        <v>25</v>
      </c>
      <c r="H104" s="147" t="s">
        <v>80</v>
      </c>
      <c r="I104" s="147"/>
      <c r="J104" s="147" t="s">
        <v>494</v>
      </c>
      <c r="K104" s="132">
        <v>18</v>
      </c>
      <c r="L104" s="132">
        <v>28.5</v>
      </c>
      <c r="M104" s="132">
        <v>14</v>
      </c>
      <c r="N104" s="132">
        <f t="shared" si="3"/>
        <v>60.5</v>
      </c>
      <c r="O104" s="132"/>
    </row>
    <row r="105" spans="1:16" s="126" customFormat="1" ht="20.100000000000001" customHeight="1">
      <c r="A105" s="131">
        <v>104</v>
      </c>
      <c r="B105" s="147" t="s">
        <v>523</v>
      </c>
      <c r="C105" s="147"/>
      <c r="D105" s="147" t="s">
        <v>168</v>
      </c>
      <c r="E105" s="147" t="s">
        <v>79</v>
      </c>
      <c r="F105" s="147"/>
      <c r="G105" s="147" t="s">
        <v>25</v>
      </c>
      <c r="H105" s="147" t="s">
        <v>72</v>
      </c>
      <c r="I105" s="147"/>
      <c r="J105" s="147" t="s">
        <v>494</v>
      </c>
      <c r="K105" s="132">
        <v>18</v>
      </c>
      <c r="L105" s="132">
        <v>26</v>
      </c>
      <c r="M105" s="132">
        <v>10</v>
      </c>
      <c r="N105" s="132">
        <f t="shared" si="3"/>
        <v>54</v>
      </c>
      <c r="O105" s="132"/>
    </row>
    <row r="106" spans="1:16" s="126" customFormat="1" ht="20.100000000000001" customHeight="1">
      <c r="A106" s="131">
        <v>105</v>
      </c>
      <c r="B106" s="147" t="s">
        <v>552</v>
      </c>
      <c r="C106" s="147"/>
      <c r="D106" s="147" t="s">
        <v>168</v>
      </c>
      <c r="E106" s="147" t="s">
        <v>79</v>
      </c>
      <c r="F106" s="147"/>
      <c r="G106" s="147" t="s">
        <v>25</v>
      </c>
      <c r="H106" s="147" t="s">
        <v>61</v>
      </c>
      <c r="I106" s="147" t="s">
        <v>83</v>
      </c>
      <c r="J106" s="147" t="s">
        <v>494</v>
      </c>
      <c r="K106" s="132">
        <v>17</v>
      </c>
      <c r="L106" s="132">
        <v>26</v>
      </c>
      <c r="M106" s="132">
        <v>10</v>
      </c>
      <c r="N106" s="132">
        <f t="shared" si="3"/>
        <v>53</v>
      </c>
      <c r="O106" s="132"/>
    </row>
    <row r="107" spans="1:16" s="126" customFormat="1" ht="20.100000000000001" customHeight="1">
      <c r="A107" s="131">
        <v>106</v>
      </c>
      <c r="B107" s="147" t="s">
        <v>495</v>
      </c>
      <c r="C107" s="147"/>
      <c r="D107" s="147" t="s">
        <v>168</v>
      </c>
      <c r="E107" s="147" t="s">
        <v>79</v>
      </c>
      <c r="F107" s="147"/>
      <c r="G107" s="147" t="s">
        <v>25</v>
      </c>
      <c r="H107" s="147" t="s">
        <v>73</v>
      </c>
      <c r="I107" s="147" t="s">
        <v>83</v>
      </c>
      <c r="J107" s="147" t="s">
        <v>494</v>
      </c>
      <c r="K107" s="132">
        <v>20</v>
      </c>
      <c r="L107" s="132" t="s">
        <v>904</v>
      </c>
      <c r="M107" s="132" t="s">
        <v>922</v>
      </c>
      <c r="N107" s="132">
        <f t="shared" si="3"/>
        <v>20</v>
      </c>
      <c r="O107" s="132"/>
    </row>
    <row r="108" spans="1:16" s="126" customFormat="1" ht="20.100000000000001" customHeight="1">
      <c r="A108" s="131">
        <v>107</v>
      </c>
      <c r="B108" s="147" t="s">
        <v>542</v>
      </c>
      <c r="C108" s="147"/>
      <c r="D108" s="147" t="s">
        <v>168</v>
      </c>
      <c r="E108" s="147" t="s">
        <v>79</v>
      </c>
      <c r="F108" s="147"/>
      <c r="G108" s="147" t="s">
        <v>25</v>
      </c>
      <c r="H108" s="147" t="s">
        <v>28</v>
      </c>
      <c r="I108" s="147" t="s">
        <v>96</v>
      </c>
      <c r="J108" s="147" t="s">
        <v>494</v>
      </c>
      <c r="K108" s="132"/>
      <c r="L108" s="132"/>
      <c r="M108" s="132"/>
      <c r="N108" s="132">
        <f t="shared" si="3"/>
        <v>0</v>
      </c>
      <c r="O108" s="132" t="s">
        <v>1276</v>
      </c>
    </row>
    <row r="109" spans="1:16" ht="24">
      <c r="A109" s="131">
        <v>108</v>
      </c>
      <c r="B109" s="147" t="s">
        <v>550</v>
      </c>
      <c r="C109" s="147"/>
      <c r="D109" s="147" t="s">
        <v>168</v>
      </c>
      <c r="E109" s="147" t="s">
        <v>79</v>
      </c>
      <c r="F109" s="147"/>
      <c r="G109" s="147" t="s">
        <v>25</v>
      </c>
      <c r="H109" s="147" t="s">
        <v>62</v>
      </c>
      <c r="I109" s="147"/>
      <c r="J109" s="147" t="s">
        <v>494</v>
      </c>
      <c r="K109" s="132"/>
      <c r="L109" s="132"/>
      <c r="M109" s="132"/>
      <c r="N109" s="132">
        <f t="shared" si="3"/>
        <v>0</v>
      </c>
      <c r="O109" s="132" t="s">
        <v>1276</v>
      </c>
      <c r="P109" s="126"/>
    </row>
  </sheetData>
  <sortState ref="A2:P109">
    <sortCondition ref="P2:P109"/>
    <sortCondition descending="1" ref="N2:N109"/>
  </sortState>
  <conditionalFormatting sqref="B1:B10 B102:B109 B55:B100 B12:B53 B111:B1048576">
    <cfRule type="duplicateValues" dxfId="18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91"/>
  <sheetViews>
    <sheetView rightToLeft="1" topLeftCell="C1" zoomScale="90" zoomScaleNormal="90" workbookViewId="0">
      <pane ySplit="1" topLeftCell="A11" activePane="bottomLeft" state="frozen"/>
      <selection pane="bottomLeft" activeCell="M36" sqref="M36:P36"/>
    </sheetView>
  </sheetViews>
  <sheetFormatPr defaultColWidth="9.125" defaultRowHeight="21"/>
  <cols>
    <col min="1" max="1" width="5.375" style="101" bestFit="1" customWidth="1"/>
    <col min="2" max="2" width="22.75" style="101" bestFit="1" customWidth="1"/>
    <col min="3" max="3" width="7.25" style="101" customWidth="1"/>
    <col min="4" max="4" width="2.375" style="101" customWidth="1"/>
    <col min="5" max="5" width="8.625" style="101" bestFit="1" customWidth="1"/>
    <col min="6" max="6" width="5.75" style="101" customWidth="1"/>
    <col min="7" max="7" width="8.625" style="101" customWidth="1"/>
    <col min="8" max="8" width="21" style="101" customWidth="1"/>
    <col min="9" max="9" width="7.125" style="101" customWidth="1"/>
    <col min="10" max="10" width="5" style="101" customWidth="1"/>
    <col min="11" max="11" width="6.125" style="101" customWidth="1"/>
    <col min="12" max="12" width="6.875" style="101" customWidth="1"/>
    <col min="13" max="13" width="7.875" style="101" customWidth="1"/>
    <col min="14" max="14" width="6.25" style="101" customWidth="1"/>
    <col min="15" max="17" width="10.625" style="101" customWidth="1"/>
    <col min="18" max="18" width="38.125" style="101" bestFit="1" customWidth="1"/>
    <col min="19" max="19" width="14.125" style="101" customWidth="1"/>
    <col min="20" max="16384" width="9.125" style="101"/>
  </cols>
  <sheetData>
    <row r="1" spans="1:18" ht="105">
      <c r="A1" s="80" t="s">
        <v>0</v>
      </c>
      <c r="B1" s="5" t="s">
        <v>1</v>
      </c>
      <c r="C1" s="5" t="s">
        <v>50</v>
      </c>
      <c r="D1" s="80" t="s">
        <v>16</v>
      </c>
      <c r="E1" s="80" t="s">
        <v>15</v>
      </c>
      <c r="F1" s="5" t="s">
        <v>2</v>
      </c>
      <c r="G1" s="80" t="s">
        <v>14</v>
      </c>
      <c r="H1" s="5" t="s">
        <v>17</v>
      </c>
      <c r="I1" s="5" t="s">
        <v>3</v>
      </c>
      <c r="J1" s="5" t="s">
        <v>4</v>
      </c>
      <c r="K1" s="80" t="s">
        <v>41</v>
      </c>
      <c r="L1" s="80" t="s">
        <v>13</v>
      </c>
      <c r="M1" s="80" t="s">
        <v>19</v>
      </c>
      <c r="N1" s="80" t="s">
        <v>20</v>
      </c>
      <c r="O1" s="80" t="s">
        <v>10</v>
      </c>
      <c r="P1" s="80" t="s">
        <v>7</v>
      </c>
      <c r="Q1" s="80" t="s">
        <v>5</v>
      </c>
      <c r="R1" s="80" t="s">
        <v>18</v>
      </c>
    </row>
    <row r="2" spans="1:18" ht="20.100000000000001" customHeight="1">
      <c r="A2" s="130">
        <v>11</v>
      </c>
      <c r="B2" s="124" t="s">
        <v>660</v>
      </c>
      <c r="C2" s="124"/>
      <c r="D2" s="124" t="s">
        <v>168</v>
      </c>
      <c r="E2" s="124" t="s">
        <v>79</v>
      </c>
      <c r="F2" s="124"/>
      <c r="G2" s="124" t="s">
        <v>24</v>
      </c>
      <c r="H2" s="124" t="s">
        <v>29</v>
      </c>
      <c r="I2" s="124" t="s">
        <v>101</v>
      </c>
      <c r="J2" s="124" t="s">
        <v>141</v>
      </c>
      <c r="K2" s="129">
        <v>18</v>
      </c>
      <c r="L2" s="129">
        <v>10</v>
      </c>
      <c r="M2" s="129">
        <v>3</v>
      </c>
      <c r="N2" s="129">
        <v>3</v>
      </c>
      <c r="O2" s="129">
        <f>8.5+4+4.5+8.5</f>
        <v>25.5</v>
      </c>
      <c r="P2" s="129">
        <f>6.5+5+4.5+6+4</f>
        <v>26</v>
      </c>
      <c r="Q2" s="129">
        <f t="shared" ref="Q2:Q33" si="0">K2+L2+M2+N2+O2+P2</f>
        <v>85.5</v>
      </c>
      <c r="R2" s="129"/>
    </row>
    <row r="3" spans="1:18" ht="20.100000000000001" customHeight="1">
      <c r="A3" s="130">
        <v>12</v>
      </c>
      <c r="B3" s="124" t="s">
        <v>670</v>
      </c>
      <c r="C3" s="124"/>
      <c r="D3" s="124" t="s">
        <v>168</v>
      </c>
      <c r="E3" s="124" t="s">
        <v>79</v>
      </c>
      <c r="F3" s="124"/>
      <c r="G3" s="124" t="s">
        <v>24</v>
      </c>
      <c r="H3" s="124" t="s">
        <v>100</v>
      </c>
      <c r="I3" s="124" t="s">
        <v>101</v>
      </c>
      <c r="J3" s="124" t="s">
        <v>140</v>
      </c>
      <c r="K3" s="129">
        <v>18</v>
      </c>
      <c r="L3" s="129">
        <v>10</v>
      </c>
      <c r="M3" s="129">
        <v>3</v>
      </c>
      <c r="N3" s="129">
        <v>4</v>
      </c>
      <c r="O3" s="129">
        <f>8+8+8.5</f>
        <v>24.5</v>
      </c>
      <c r="P3" s="129">
        <f>8.5+6.5+10</f>
        <v>25</v>
      </c>
      <c r="Q3" s="129">
        <f t="shared" si="0"/>
        <v>84.5</v>
      </c>
      <c r="R3" s="129"/>
    </row>
    <row r="4" spans="1:18" ht="20.100000000000001" customHeight="1">
      <c r="A4" s="130">
        <v>7</v>
      </c>
      <c r="B4" s="124" t="s">
        <v>639</v>
      </c>
      <c r="C4" s="124"/>
      <c r="D4" s="124" t="s">
        <v>168</v>
      </c>
      <c r="E4" s="124" t="s">
        <v>79</v>
      </c>
      <c r="F4" s="124"/>
      <c r="G4" s="124" t="s">
        <v>24</v>
      </c>
      <c r="H4" s="124" t="s">
        <v>30</v>
      </c>
      <c r="I4" s="124" t="s">
        <v>101</v>
      </c>
      <c r="J4" s="124" t="s">
        <v>140</v>
      </c>
      <c r="K4" s="129">
        <v>17</v>
      </c>
      <c r="L4" s="129">
        <v>10</v>
      </c>
      <c r="M4" s="129">
        <v>2.5</v>
      </c>
      <c r="N4" s="129">
        <v>3.5</v>
      </c>
      <c r="O4" s="129">
        <f>8+8.5+8</f>
        <v>24.5</v>
      </c>
      <c r="P4" s="129">
        <f>8.5+6.5+8.5</f>
        <v>23.5</v>
      </c>
      <c r="Q4" s="129">
        <f t="shared" si="0"/>
        <v>81</v>
      </c>
      <c r="R4" s="129"/>
    </row>
    <row r="5" spans="1:18" ht="20.100000000000001" customHeight="1">
      <c r="A5" s="130">
        <v>3</v>
      </c>
      <c r="B5" s="124" t="s">
        <v>616</v>
      </c>
      <c r="C5" s="124"/>
      <c r="D5" s="124" t="s">
        <v>168</v>
      </c>
      <c r="E5" s="124" t="s">
        <v>79</v>
      </c>
      <c r="F5" s="124"/>
      <c r="G5" s="124" t="s">
        <v>24</v>
      </c>
      <c r="H5" s="124" t="s">
        <v>87</v>
      </c>
      <c r="I5" s="124" t="s">
        <v>81</v>
      </c>
      <c r="J5" s="124" t="s">
        <v>140</v>
      </c>
      <c r="K5" s="129">
        <v>18</v>
      </c>
      <c r="L5" s="129">
        <v>10</v>
      </c>
      <c r="M5" s="129">
        <v>2</v>
      </c>
      <c r="N5" s="129">
        <v>3.5</v>
      </c>
      <c r="O5" s="129">
        <f>7.5+7+7.5</f>
        <v>22</v>
      </c>
      <c r="P5" s="129">
        <f>8+6+5+4</f>
        <v>23</v>
      </c>
      <c r="Q5" s="129">
        <f t="shared" si="0"/>
        <v>78.5</v>
      </c>
      <c r="R5" s="129"/>
    </row>
    <row r="6" spans="1:18" ht="20.100000000000001" customHeight="1">
      <c r="A6" s="130">
        <v>10</v>
      </c>
      <c r="B6" s="124" t="s">
        <v>649</v>
      </c>
      <c r="C6" s="124"/>
      <c r="D6" s="124" t="s">
        <v>168</v>
      </c>
      <c r="E6" s="124" t="s">
        <v>79</v>
      </c>
      <c r="F6" s="124"/>
      <c r="G6" s="124" t="s">
        <v>24</v>
      </c>
      <c r="H6" s="124" t="s">
        <v>61</v>
      </c>
      <c r="I6" s="124" t="s">
        <v>650</v>
      </c>
      <c r="J6" s="124" t="s">
        <v>141</v>
      </c>
      <c r="K6" s="129">
        <v>18</v>
      </c>
      <c r="L6" s="129">
        <v>10</v>
      </c>
      <c r="M6" s="129">
        <v>1.5</v>
      </c>
      <c r="N6" s="129">
        <v>2.5</v>
      </c>
      <c r="O6" s="129">
        <f>7.5+7+7.5</f>
        <v>22</v>
      </c>
      <c r="P6" s="129">
        <f>9.5+11</f>
        <v>20.5</v>
      </c>
      <c r="Q6" s="129">
        <f t="shared" si="0"/>
        <v>74.5</v>
      </c>
      <c r="R6" s="129"/>
    </row>
    <row r="7" spans="1:18" ht="20.100000000000001" customHeight="1">
      <c r="A7" s="130">
        <v>15</v>
      </c>
      <c r="B7" s="124" t="s">
        <v>682</v>
      </c>
      <c r="C7" s="124"/>
      <c r="D7" s="124" t="s">
        <v>168</v>
      </c>
      <c r="E7" s="124" t="s">
        <v>79</v>
      </c>
      <c r="F7" s="124"/>
      <c r="G7" s="124" t="s">
        <v>24</v>
      </c>
      <c r="H7" s="124" t="s">
        <v>58</v>
      </c>
      <c r="I7" s="124" t="s">
        <v>81</v>
      </c>
      <c r="J7" s="124" t="s">
        <v>140</v>
      </c>
      <c r="K7" s="129">
        <v>17</v>
      </c>
      <c r="L7" s="129">
        <v>10</v>
      </c>
      <c r="M7" s="129">
        <v>1.5</v>
      </c>
      <c r="N7" s="129">
        <v>4</v>
      </c>
      <c r="O7" s="129">
        <f>6.5+7+6.5</f>
        <v>20</v>
      </c>
      <c r="P7" s="129">
        <f>5.5+6+4.5+5.5</f>
        <v>21.5</v>
      </c>
      <c r="Q7" s="129">
        <f t="shared" si="0"/>
        <v>74</v>
      </c>
      <c r="R7" s="129"/>
    </row>
    <row r="8" spans="1:18" ht="20.100000000000001" customHeight="1">
      <c r="A8" s="130">
        <v>13</v>
      </c>
      <c r="B8" s="124" t="s">
        <v>671</v>
      </c>
      <c r="C8" s="124"/>
      <c r="D8" s="124" t="s">
        <v>168</v>
      </c>
      <c r="E8" s="124" t="s">
        <v>79</v>
      </c>
      <c r="F8" s="124"/>
      <c r="G8" s="124" t="s">
        <v>24</v>
      </c>
      <c r="H8" s="124" t="s">
        <v>100</v>
      </c>
      <c r="I8" s="124" t="s">
        <v>101</v>
      </c>
      <c r="J8" s="124" t="s">
        <v>140</v>
      </c>
      <c r="K8" s="129">
        <v>16</v>
      </c>
      <c r="L8" s="129">
        <v>10</v>
      </c>
      <c r="M8" s="129">
        <v>2.5</v>
      </c>
      <c r="N8" s="129">
        <v>1</v>
      </c>
      <c r="O8" s="129">
        <f>10.5+10.5</f>
        <v>21</v>
      </c>
      <c r="P8" s="129">
        <f>7+5+1.5+4.5</f>
        <v>18</v>
      </c>
      <c r="Q8" s="129">
        <f t="shared" si="0"/>
        <v>68.5</v>
      </c>
      <c r="R8" s="129"/>
    </row>
    <row r="9" spans="1:18" ht="20.100000000000001" customHeight="1">
      <c r="A9" s="130">
        <v>8</v>
      </c>
      <c r="B9" s="124" t="s">
        <v>642</v>
      </c>
      <c r="C9" s="124"/>
      <c r="D9" s="124" t="s">
        <v>168</v>
      </c>
      <c r="E9" s="124" t="s">
        <v>79</v>
      </c>
      <c r="F9" s="124"/>
      <c r="G9" s="124" t="s">
        <v>24</v>
      </c>
      <c r="H9" s="124" t="s">
        <v>53</v>
      </c>
      <c r="I9" s="124" t="s">
        <v>110</v>
      </c>
      <c r="J9" s="124" t="s">
        <v>140</v>
      </c>
      <c r="K9" s="129">
        <v>17</v>
      </c>
      <c r="L9" s="129">
        <v>10</v>
      </c>
      <c r="M9" s="129">
        <v>1</v>
      </c>
      <c r="N9" s="129">
        <v>2</v>
      </c>
      <c r="O9" s="129">
        <f>6.5+6.5+7</f>
        <v>20</v>
      </c>
      <c r="P9" s="129">
        <f>7+4.5+2+4.5</f>
        <v>18</v>
      </c>
      <c r="Q9" s="129">
        <f t="shared" si="0"/>
        <v>68</v>
      </c>
      <c r="R9" s="129"/>
    </row>
    <row r="10" spans="1:18" ht="20.100000000000001" customHeight="1">
      <c r="A10" s="130">
        <v>16</v>
      </c>
      <c r="B10" s="124" t="s">
        <v>688</v>
      </c>
      <c r="C10" s="124"/>
      <c r="D10" s="124" t="s">
        <v>168</v>
      </c>
      <c r="E10" s="124" t="s">
        <v>79</v>
      </c>
      <c r="F10" s="124"/>
      <c r="G10" s="124" t="s">
        <v>24</v>
      </c>
      <c r="H10" s="124" t="s">
        <v>75</v>
      </c>
      <c r="I10" s="124"/>
      <c r="J10" s="124" t="s">
        <v>140</v>
      </c>
      <c r="K10" s="124">
        <v>18</v>
      </c>
      <c r="L10" s="124">
        <v>10</v>
      </c>
      <c r="M10" s="124">
        <v>1</v>
      </c>
      <c r="N10" s="124">
        <v>1.5</v>
      </c>
      <c r="O10" s="124">
        <f>6+6.5+6.5</f>
        <v>19</v>
      </c>
      <c r="P10" s="124">
        <f>4+3+6+4.5</f>
        <v>17.5</v>
      </c>
      <c r="Q10" s="129">
        <f t="shared" si="0"/>
        <v>67</v>
      </c>
      <c r="R10" s="124"/>
    </row>
    <row r="11" spans="1:18" ht="20.100000000000001" customHeight="1">
      <c r="A11" s="130">
        <v>4</v>
      </c>
      <c r="B11" s="124" t="s">
        <v>619</v>
      </c>
      <c r="C11" s="124"/>
      <c r="D11" s="124" t="s">
        <v>168</v>
      </c>
      <c r="E11" s="124" t="s">
        <v>79</v>
      </c>
      <c r="F11" s="124"/>
      <c r="G11" s="124" t="s">
        <v>24</v>
      </c>
      <c r="H11" s="124" t="s">
        <v>196</v>
      </c>
      <c r="I11" s="124" t="s">
        <v>101</v>
      </c>
      <c r="J11" s="124" t="s">
        <v>141</v>
      </c>
      <c r="K11" s="129">
        <v>14</v>
      </c>
      <c r="L11" s="129">
        <v>10</v>
      </c>
      <c r="M11" s="129">
        <v>1</v>
      </c>
      <c r="N11" s="129">
        <v>2</v>
      </c>
      <c r="O11" s="129">
        <f>6.5+3.5+3.5+3.5+2.5</f>
        <v>19.5</v>
      </c>
      <c r="P11" s="129">
        <f>5.5+3.5+5+4.5</f>
        <v>18.5</v>
      </c>
      <c r="Q11" s="129">
        <f t="shared" si="0"/>
        <v>65</v>
      </c>
      <c r="R11" s="129"/>
    </row>
    <row r="12" spans="1:18" ht="20.100000000000001" customHeight="1">
      <c r="A12" s="130">
        <v>2</v>
      </c>
      <c r="B12" s="124" t="s">
        <v>611</v>
      </c>
      <c r="C12" s="124"/>
      <c r="D12" s="124" t="s">
        <v>168</v>
      </c>
      <c r="E12" s="124" t="s">
        <v>79</v>
      </c>
      <c r="F12" s="124"/>
      <c r="G12" s="124" t="s">
        <v>24</v>
      </c>
      <c r="H12" s="124" t="s">
        <v>113</v>
      </c>
      <c r="I12" s="124" t="s">
        <v>101</v>
      </c>
      <c r="J12" s="124" t="s">
        <v>140</v>
      </c>
      <c r="K12" s="129">
        <v>14</v>
      </c>
      <c r="L12" s="129">
        <v>8</v>
      </c>
      <c r="M12" s="129">
        <v>1</v>
      </c>
      <c r="N12" s="129">
        <v>1.5</v>
      </c>
      <c r="O12" s="129">
        <f>7+3.5+11</f>
        <v>21.5</v>
      </c>
      <c r="P12" s="129">
        <f>6.5+4.5+7</f>
        <v>18</v>
      </c>
      <c r="Q12" s="129">
        <f t="shared" si="0"/>
        <v>64</v>
      </c>
      <c r="R12" s="129"/>
    </row>
    <row r="13" spans="1:18" ht="20.100000000000001" customHeight="1">
      <c r="A13" s="130">
        <v>14</v>
      </c>
      <c r="B13" s="124" t="s">
        <v>677</v>
      </c>
      <c r="C13" s="124"/>
      <c r="D13" s="124" t="s">
        <v>168</v>
      </c>
      <c r="E13" s="124" t="s">
        <v>79</v>
      </c>
      <c r="F13" s="124"/>
      <c r="G13" s="124" t="s">
        <v>24</v>
      </c>
      <c r="H13" s="124" t="s">
        <v>58</v>
      </c>
      <c r="I13" s="124" t="s">
        <v>81</v>
      </c>
      <c r="J13" s="124" t="s">
        <v>140</v>
      </c>
      <c r="K13" s="129">
        <v>15</v>
      </c>
      <c r="L13" s="129">
        <v>10</v>
      </c>
      <c r="M13" s="129">
        <v>1.5</v>
      </c>
      <c r="N13" s="129">
        <v>1.5</v>
      </c>
      <c r="O13" s="129">
        <f>6+3+3+6</f>
        <v>18</v>
      </c>
      <c r="P13" s="129">
        <f>5+2+1.5+2.5+2+1.5+1.5+1</f>
        <v>17</v>
      </c>
      <c r="Q13" s="129">
        <f t="shared" si="0"/>
        <v>63</v>
      </c>
      <c r="R13" s="129"/>
    </row>
    <row r="14" spans="1:18" ht="20.100000000000001" customHeight="1">
      <c r="A14" s="130">
        <v>6</v>
      </c>
      <c r="B14" s="124" t="s">
        <v>627</v>
      </c>
      <c r="C14" s="124"/>
      <c r="D14" s="124" t="s">
        <v>168</v>
      </c>
      <c r="E14" s="124" t="s">
        <v>79</v>
      </c>
      <c r="F14" s="124"/>
      <c r="G14" s="124" t="s">
        <v>24</v>
      </c>
      <c r="H14" s="124" t="s">
        <v>122</v>
      </c>
      <c r="I14" s="124" t="s">
        <v>86</v>
      </c>
      <c r="J14" s="124" t="s">
        <v>140</v>
      </c>
      <c r="K14" s="129">
        <v>10</v>
      </c>
      <c r="L14" s="129">
        <v>8</v>
      </c>
      <c r="M14" s="129">
        <v>1</v>
      </c>
      <c r="N14" s="129">
        <v>1.5</v>
      </c>
      <c r="O14" s="129">
        <f>7+7+6</f>
        <v>20</v>
      </c>
      <c r="P14" s="129">
        <f>5+3+5+4</f>
        <v>17</v>
      </c>
      <c r="Q14" s="129">
        <f t="shared" si="0"/>
        <v>57.5</v>
      </c>
      <c r="R14" s="129"/>
    </row>
    <row r="15" spans="1:18" ht="20.100000000000001" customHeight="1">
      <c r="A15" s="130">
        <v>1</v>
      </c>
      <c r="B15" s="124" t="s">
        <v>656</v>
      </c>
      <c r="C15" s="124"/>
      <c r="D15" s="124" t="s">
        <v>168</v>
      </c>
      <c r="E15" s="124" t="s">
        <v>79</v>
      </c>
      <c r="F15" s="124"/>
      <c r="G15" s="124" t="s">
        <v>254</v>
      </c>
      <c r="H15" s="124" t="s">
        <v>59</v>
      </c>
      <c r="I15" s="124" t="s">
        <v>110</v>
      </c>
      <c r="J15" s="124" t="s">
        <v>141</v>
      </c>
      <c r="K15" s="129">
        <v>13</v>
      </c>
      <c r="L15" s="129">
        <v>10</v>
      </c>
      <c r="M15" s="129">
        <v>0.5</v>
      </c>
      <c r="N15" s="129">
        <v>1.5</v>
      </c>
      <c r="O15" s="129">
        <f>5.5+2.5+2.5+6</f>
        <v>16.5</v>
      </c>
      <c r="P15" s="129">
        <f>4.5+1+1.5+5+3</f>
        <v>15</v>
      </c>
      <c r="Q15" s="129">
        <f t="shared" si="0"/>
        <v>56.5</v>
      </c>
      <c r="R15" s="129"/>
    </row>
    <row r="16" spans="1:18" ht="20.100000000000001" customHeight="1">
      <c r="A16" s="130">
        <v>5</v>
      </c>
      <c r="B16" s="124" t="s">
        <v>625</v>
      </c>
      <c r="C16" s="124"/>
      <c r="D16" s="124" t="s">
        <v>168</v>
      </c>
      <c r="E16" s="124" t="s">
        <v>79</v>
      </c>
      <c r="F16" s="124"/>
      <c r="G16" s="124" t="s">
        <v>24</v>
      </c>
      <c r="H16" s="124" t="s">
        <v>120</v>
      </c>
      <c r="I16" s="124" t="s">
        <v>121</v>
      </c>
      <c r="J16" s="124" t="s">
        <v>141</v>
      </c>
      <c r="K16" s="129">
        <v>7</v>
      </c>
      <c r="L16" s="129">
        <v>8</v>
      </c>
      <c r="M16" s="129">
        <v>1</v>
      </c>
      <c r="N16" s="129">
        <v>1.5</v>
      </c>
      <c r="O16" s="129">
        <f>5.5+6+6.5</f>
        <v>18</v>
      </c>
      <c r="P16" s="129">
        <f>6+4+5.5</f>
        <v>15.5</v>
      </c>
      <c r="Q16" s="129">
        <f t="shared" si="0"/>
        <v>51</v>
      </c>
      <c r="R16" s="129"/>
    </row>
    <row r="17" spans="1:18" ht="20.100000000000001" customHeight="1">
      <c r="A17" s="130">
        <v>9</v>
      </c>
      <c r="B17" s="124" t="s">
        <v>647</v>
      </c>
      <c r="C17" s="124"/>
      <c r="D17" s="124" t="s">
        <v>168</v>
      </c>
      <c r="E17" s="124" t="s">
        <v>79</v>
      </c>
      <c r="F17" s="124"/>
      <c r="G17" s="124" t="s">
        <v>24</v>
      </c>
      <c r="H17" s="124" t="s">
        <v>61</v>
      </c>
      <c r="I17" s="124" t="s">
        <v>101</v>
      </c>
      <c r="J17" s="124" t="s">
        <v>141</v>
      </c>
      <c r="K17" s="129">
        <v>10</v>
      </c>
      <c r="L17" s="129">
        <v>10</v>
      </c>
      <c r="M17" s="129">
        <v>1</v>
      </c>
      <c r="N17" s="129">
        <v>2</v>
      </c>
      <c r="O17" s="129">
        <f>6.5+7+6.5</f>
        <v>20</v>
      </c>
      <c r="P17" s="129">
        <f>5+1.5+1</f>
        <v>7.5</v>
      </c>
      <c r="Q17" s="129">
        <f t="shared" si="0"/>
        <v>50.5</v>
      </c>
      <c r="R17" s="129"/>
    </row>
    <row r="18" spans="1:18" ht="20.100000000000001" customHeight="1">
      <c r="A18" s="130">
        <v>22</v>
      </c>
      <c r="B18" s="18" t="s">
        <v>624</v>
      </c>
      <c r="C18" s="18"/>
      <c r="D18" s="18" t="s">
        <v>168</v>
      </c>
      <c r="E18" s="18" t="s">
        <v>79</v>
      </c>
      <c r="F18" s="18"/>
      <c r="G18" s="18" t="s">
        <v>26</v>
      </c>
      <c r="H18" s="18" t="s">
        <v>72</v>
      </c>
      <c r="I18" s="18" t="s">
        <v>81</v>
      </c>
      <c r="J18" s="18" t="s">
        <v>140</v>
      </c>
      <c r="K18" s="83">
        <v>17</v>
      </c>
      <c r="L18" s="83">
        <v>10</v>
      </c>
      <c r="M18" s="83">
        <v>2.5</v>
      </c>
      <c r="N18" s="83">
        <v>6.5</v>
      </c>
      <c r="O18" s="83">
        <f>8.5+4+3.5+4.5+2.5</f>
        <v>23</v>
      </c>
      <c r="P18" s="83">
        <f>6+4+6+5</f>
        <v>21</v>
      </c>
      <c r="Q18" s="83">
        <f t="shared" si="0"/>
        <v>80</v>
      </c>
      <c r="R18" s="83"/>
    </row>
    <row r="19" spans="1:18" ht="20.100000000000001" customHeight="1">
      <c r="A19" s="130">
        <v>33</v>
      </c>
      <c r="B19" s="18" t="s">
        <v>679</v>
      </c>
      <c r="C19" s="18"/>
      <c r="D19" s="18" t="s">
        <v>168</v>
      </c>
      <c r="E19" s="18" t="s">
        <v>79</v>
      </c>
      <c r="F19" s="18"/>
      <c r="G19" s="18" t="s">
        <v>26</v>
      </c>
      <c r="H19" s="18" t="s">
        <v>58</v>
      </c>
      <c r="I19" s="18" t="s">
        <v>81</v>
      </c>
      <c r="J19" s="18" t="s">
        <v>140</v>
      </c>
      <c r="K19" s="83">
        <v>17</v>
      </c>
      <c r="L19" s="83">
        <v>10</v>
      </c>
      <c r="M19" s="83">
        <v>1</v>
      </c>
      <c r="N19" s="83">
        <v>3</v>
      </c>
      <c r="O19" s="83">
        <f>8.5+4+4.5+4.5+3</f>
        <v>24.5</v>
      </c>
      <c r="P19" s="83">
        <f>6+2.5+2+4+3.5+2+2.5+2</f>
        <v>24.5</v>
      </c>
      <c r="Q19" s="83">
        <f t="shared" si="0"/>
        <v>80</v>
      </c>
      <c r="R19" s="83"/>
    </row>
    <row r="20" spans="1:18" ht="20.100000000000001" customHeight="1">
      <c r="A20" s="130">
        <v>21</v>
      </c>
      <c r="B20" s="18" t="s">
        <v>621</v>
      </c>
      <c r="C20" s="18"/>
      <c r="D20" s="18" t="s">
        <v>168</v>
      </c>
      <c r="E20" s="18" t="s">
        <v>79</v>
      </c>
      <c r="F20" s="18"/>
      <c r="G20" s="18" t="s">
        <v>26</v>
      </c>
      <c r="H20" s="18" t="s">
        <v>196</v>
      </c>
      <c r="I20" s="18" t="s">
        <v>101</v>
      </c>
      <c r="J20" s="18" t="s">
        <v>141</v>
      </c>
      <c r="K20" s="83">
        <v>17</v>
      </c>
      <c r="L20" s="83">
        <v>10</v>
      </c>
      <c r="M20" s="83">
        <v>2</v>
      </c>
      <c r="N20" s="83">
        <v>3</v>
      </c>
      <c r="O20" s="83">
        <f>8.5+8+8</f>
        <v>24.5</v>
      </c>
      <c r="P20" s="83">
        <f>6+2.5+6+7+1.5</f>
        <v>23</v>
      </c>
      <c r="Q20" s="83">
        <f t="shared" si="0"/>
        <v>79.5</v>
      </c>
      <c r="R20" s="83"/>
    </row>
    <row r="21" spans="1:18" ht="20.100000000000001" customHeight="1">
      <c r="A21" s="130">
        <v>17</v>
      </c>
      <c r="B21" s="18" t="s">
        <v>605</v>
      </c>
      <c r="C21" s="18"/>
      <c r="D21" s="18" t="s">
        <v>168</v>
      </c>
      <c r="E21" s="18" t="s">
        <v>79</v>
      </c>
      <c r="F21" s="18"/>
      <c r="G21" s="18" t="s">
        <v>26</v>
      </c>
      <c r="H21" s="18" t="s">
        <v>73</v>
      </c>
      <c r="I21" s="18" t="s">
        <v>83</v>
      </c>
      <c r="J21" s="18" t="s">
        <v>140</v>
      </c>
      <c r="K21" s="83">
        <v>19</v>
      </c>
      <c r="L21" s="83">
        <v>8</v>
      </c>
      <c r="M21" s="83">
        <v>2</v>
      </c>
      <c r="N21" s="83">
        <v>3</v>
      </c>
      <c r="O21" s="83">
        <f>8.5+8+8.5</f>
        <v>25</v>
      </c>
      <c r="P21" s="83">
        <v>22</v>
      </c>
      <c r="Q21" s="83">
        <f t="shared" si="0"/>
        <v>79</v>
      </c>
      <c r="R21" s="83"/>
    </row>
    <row r="22" spans="1:18" ht="20.100000000000001" customHeight="1">
      <c r="A22" s="130">
        <v>20</v>
      </c>
      <c r="B22" s="18" t="s">
        <v>614</v>
      </c>
      <c r="C22" s="18"/>
      <c r="D22" s="18" t="s">
        <v>168</v>
      </c>
      <c r="E22" s="18" t="s">
        <v>76</v>
      </c>
      <c r="F22" s="18"/>
      <c r="G22" s="18" t="s">
        <v>26</v>
      </c>
      <c r="H22" s="18" t="s">
        <v>114</v>
      </c>
      <c r="I22" s="18" t="s">
        <v>81</v>
      </c>
      <c r="J22" s="18" t="s">
        <v>140</v>
      </c>
      <c r="K22" s="83">
        <v>19</v>
      </c>
      <c r="L22" s="83">
        <v>10</v>
      </c>
      <c r="M22" s="83">
        <v>0.5</v>
      </c>
      <c r="N22" s="83">
        <v>1</v>
      </c>
      <c r="O22" s="83">
        <f>8.5+8.5+7.5</f>
        <v>24.5</v>
      </c>
      <c r="P22" s="83">
        <f>6+4.5+7+4.5+1.5</f>
        <v>23.5</v>
      </c>
      <c r="Q22" s="83">
        <f t="shared" si="0"/>
        <v>78.5</v>
      </c>
      <c r="R22" s="83"/>
    </row>
    <row r="23" spans="1:18" ht="20.100000000000001" customHeight="1">
      <c r="A23" s="130">
        <v>36</v>
      </c>
      <c r="B23" s="18" t="s">
        <v>651</v>
      </c>
      <c r="C23" s="18"/>
      <c r="D23" s="18" t="s">
        <v>168</v>
      </c>
      <c r="E23" s="18" t="s">
        <v>79</v>
      </c>
      <c r="F23" s="18"/>
      <c r="G23" s="18" t="s">
        <v>92</v>
      </c>
      <c r="H23" s="18" t="s">
        <v>52</v>
      </c>
      <c r="I23" s="18" t="s">
        <v>418</v>
      </c>
      <c r="J23" s="18" t="s">
        <v>144</v>
      </c>
      <c r="K23" s="83">
        <v>17</v>
      </c>
      <c r="L23" s="83">
        <v>10</v>
      </c>
      <c r="M23" s="83">
        <v>1.5</v>
      </c>
      <c r="N23" s="83">
        <v>4.5</v>
      </c>
      <c r="O23" s="83">
        <f>7.5+3.5+3.5+7.5</f>
        <v>22</v>
      </c>
      <c r="P23" s="83">
        <f>10.5+12.5</f>
        <v>23</v>
      </c>
      <c r="Q23" s="83">
        <f t="shared" si="0"/>
        <v>78</v>
      </c>
      <c r="R23" s="83"/>
    </row>
    <row r="24" spans="1:18" ht="20.100000000000001" customHeight="1">
      <c r="A24" s="130">
        <v>25</v>
      </c>
      <c r="B24" s="18" t="s">
        <v>643</v>
      </c>
      <c r="C24" s="18"/>
      <c r="D24" s="18" t="s">
        <v>168</v>
      </c>
      <c r="E24" s="18" t="s">
        <v>79</v>
      </c>
      <c r="F24" s="18"/>
      <c r="G24" s="18" t="s">
        <v>26</v>
      </c>
      <c r="H24" s="18" t="s">
        <v>53</v>
      </c>
      <c r="I24" s="18" t="s">
        <v>81</v>
      </c>
      <c r="J24" s="18" t="s">
        <v>140</v>
      </c>
      <c r="K24" s="83">
        <v>17</v>
      </c>
      <c r="L24" s="83">
        <v>10</v>
      </c>
      <c r="M24" s="83">
        <v>1.5</v>
      </c>
      <c r="N24" s="83">
        <v>2.5</v>
      </c>
      <c r="O24" s="83">
        <f>7.5+7.5+7</f>
        <v>22</v>
      </c>
      <c r="P24" s="83">
        <f>8+6+3+4.5</f>
        <v>21.5</v>
      </c>
      <c r="Q24" s="83">
        <f t="shared" si="0"/>
        <v>74.5</v>
      </c>
      <c r="R24" s="83"/>
    </row>
    <row r="25" spans="1:18" ht="20.100000000000001" customHeight="1">
      <c r="A25" s="130"/>
      <c r="B25" s="18" t="s">
        <v>635</v>
      </c>
      <c r="C25" s="18"/>
      <c r="D25" s="18" t="s">
        <v>168</v>
      </c>
      <c r="E25" s="18" t="s">
        <v>103</v>
      </c>
      <c r="F25" s="18"/>
      <c r="G25" s="18" t="s">
        <v>26</v>
      </c>
      <c r="H25" s="18" t="s">
        <v>127</v>
      </c>
      <c r="I25" s="18" t="s">
        <v>81</v>
      </c>
      <c r="J25" s="18" t="s">
        <v>140</v>
      </c>
      <c r="K25" s="83">
        <v>18</v>
      </c>
      <c r="L25" s="83">
        <v>10</v>
      </c>
      <c r="M25" s="83">
        <v>2</v>
      </c>
      <c r="N25" s="83">
        <v>5</v>
      </c>
      <c r="O25" s="83">
        <f>6+6.5+6</f>
        <v>18.5</v>
      </c>
      <c r="P25" s="83">
        <f>5+3+5.5+4.5</f>
        <v>18</v>
      </c>
      <c r="Q25" s="83">
        <f t="shared" si="0"/>
        <v>71.5</v>
      </c>
      <c r="R25" s="83"/>
    </row>
    <row r="26" spans="1:18" ht="20.100000000000001" customHeight="1">
      <c r="A26" s="130">
        <v>24</v>
      </c>
      <c r="B26" s="18" t="s">
        <v>636</v>
      </c>
      <c r="C26" s="18"/>
      <c r="D26" s="18" t="s">
        <v>168</v>
      </c>
      <c r="E26" s="18" t="s">
        <v>79</v>
      </c>
      <c r="F26" s="18"/>
      <c r="G26" s="18" t="s">
        <v>26</v>
      </c>
      <c r="H26" s="18" t="s">
        <v>65</v>
      </c>
      <c r="I26" s="18" t="s">
        <v>81</v>
      </c>
      <c r="J26" s="18" t="s">
        <v>140</v>
      </c>
      <c r="K26" s="83">
        <v>18</v>
      </c>
      <c r="L26" s="83">
        <v>10</v>
      </c>
      <c r="M26" s="83">
        <v>1</v>
      </c>
      <c r="N26" s="83">
        <v>3</v>
      </c>
      <c r="O26" s="83">
        <f>6.5+6.5+7</f>
        <v>20</v>
      </c>
      <c r="P26" s="83">
        <f>7.5+5.5+4.5</f>
        <v>17.5</v>
      </c>
      <c r="Q26" s="83">
        <f t="shared" si="0"/>
        <v>69.5</v>
      </c>
      <c r="R26" s="83"/>
    </row>
    <row r="27" spans="1:18" ht="20.100000000000001" customHeight="1">
      <c r="A27" s="130">
        <v>26</v>
      </c>
      <c r="B27" s="18" t="s">
        <v>648</v>
      </c>
      <c r="C27" s="18"/>
      <c r="D27" s="18" t="s">
        <v>168</v>
      </c>
      <c r="E27" s="18" t="s">
        <v>79</v>
      </c>
      <c r="F27" s="18"/>
      <c r="G27" s="18" t="s">
        <v>26</v>
      </c>
      <c r="H27" s="18" t="s">
        <v>61</v>
      </c>
      <c r="I27" s="18" t="s">
        <v>83</v>
      </c>
      <c r="J27" s="18" t="s">
        <v>141</v>
      </c>
      <c r="K27" s="83">
        <v>18</v>
      </c>
      <c r="L27" s="83">
        <v>10</v>
      </c>
      <c r="M27" s="83">
        <v>0.5</v>
      </c>
      <c r="N27" s="83">
        <v>1.5</v>
      </c>
      <c r="O27" s="83">
        <f>6+3.5+3.5+6</f>
        <v>19</v>
      </c>
      <c r="P27" s="83">
        <f>4.5+1.5+1.5+5+1.5+1+1.5</f>
        <v>16.5</v>
      </c>
      <c r="Q27" s="83">
        <f t="shared" si="0"/>
        <v>65.5</v>
      </c>
      <c r="R27" s="83"/>
    </row>
    <row r="28" spans="1:18" ht="20.100000000000001" customHeight="1">
      <c r="A28" s="130">
        <v>29</v>
      </c>
      <c r="B28" s="18" t="s">
        <v>669</v>
      </c>
      <c r="C28" s="18"/>
      <c r="D28" s="18" t="s">
        <v>168</v>
      </c>
      <c r="E28" s="18" t="s">
        <v>79</v>
      </c>
      <c r="F28" s="18"/>
      <c r="G28" s="18" t="s">
        <v>26</v>
      </c>
      <c r="H28" s="18" t="s">
        <v>27</v>
      </c>
      <c r="I28" s="18" t="s">
        <v>83</v>
      </c>
      <c r="J28" s="18" t="s">
        <v>145</v>
      </c>
      <c r="K28" s="83">
        <v>16</v>
      </c>
      <c r="L28" s="83">
        <v>10</v>
      </c>
      <c r="M28" s="83">
        <v>1.5</v>
      </c>
      <c r="N28" s="83">
        <v>2</v>
      </c>
      <c r="O28" s="83">
        <f>5.5+3+0.5+3+4+2.5</f>
        <v>18.5</v>
      </c>
      <c r="P28" s="83">
        <f>4.5+1.5+1.5+5+1.5+2.5</f>
        <v>16.5</v>
      </c>
      <c r="Q28" s="83">
        <f t="shared" si="0"/>
        <v>64.5</v>
      </c>
      <c r="R28" s="83"/>
    </row>
    <row r="29" spans="1:18" ht="20.100000000000001" customHeight="1">
      <c r="A29" s="130">
        <v>37</v>
      </c>
      <c r="B29" s="18" t="s">
        <v>652</v>
      </c>
      <c r="C29" s="18"/>
      <c r="D29" s="18" t="s">
        <v>168</v>
      </c>
      <c r="E29" s="18" t="s">
        <v>79</v>
      </c>
      <c r="F29" s="18"/>
      <c r="G29" s="18" t="s">
        <v>92</v>
      </c>
      <c r="H29" s="18" t="s">
        <v>52</v>
      </c>
      <c r="I29" s="18" t="s">
        <v>96</v>
      </c>
      <c r="J29" s="18" t="s">
        <v>144</v>
      </c>
      <c r="K29" s="83">
        <v>16</v>
      </c>
      <c r="L29" s="83">
        <v>10</v>
      </c>
      <c r="M29" s="83">
        <v>1</v>
      </c>
      <c r="N29" s="83">
        <v>2</v>
      </c>
      <c r="O29" s="83">
        <f>6+3.5+3+6</f>
        <v>18.5</v>
      </c>
      <c r="P29" s="83">
        <f>4.5+1.5+1.5+5+4.5</f>
        <v>17</v>
      </c>
      <c r="Q29" s="83">
        <f t="shared" si="0"/>
        <v>64.5</v>
      </c>
      <c r="R29" s="83"/>
    </row>
    <row r="30" spans="1:18" ht="20.100000000000001" customHeight="1">
      <c r="A30" s="130">
        <v>32</v>
      </c>
      <c r="B30" s="18" t="s">
        <v>678</v>
      </c>
      <c r="C30" s="18"/>
      <c r="D30" s="18" t="s">
        <v>168</v>
      </c>
      <c r="E30" s="18" t="s">
        <v>79</v>
      </c>
      <c r="F30" s="18"/>
      <c r="G30" s="18" t="s">
        <v>26</v>
      </c>
      <c r="H30" s="18" t="s">
        <v>58</v>
      </c>
      <c r="I30" s="18" t="s">
        <v>83</v>
      </c>
      <c r="J30" s="18" t="s">
        <v>140</v>
      </c>
      <c r="K30" s="83">
        <v>15</v>
      </c>
      <c r="L30" s="83">
        <v>10</v>
      </c>
      <c r="M30" s="83">
        <v>1</v>
      </c>
      <c r="N30" s="83">
        <v>2</v>
      </c>
      <c r="O30" s="83">
        <f>5.5+3.5+3.5+4+2.5</f>
        <v>19</v>
      </c>
      <c r="P30" s="83">
        <f>4.5+1.5+1.5+3.5+2+1.5+1+1.5</f>
        <v>17</v>
      </c>
      <c r="Q30" s="83">
        <f t="shared" si="0"/>
        <v>64</v>
      </c>
      <c r="R30" s="83"/>
    </row>
    <row r="31" spans="1:18" ht="20.100000000000001" customHeight="1">
      <c r="A31" s="130"/>
      <c r="B31" s="18" t="s">
        <v>659</v>
      </c>
      <c r="C31" s="18"/>
      <c r="D31" s="18" t="s">
        <v>168</v>
      </c>
      <c r="E31" s="18" t="s">
        <v>79</v>
      </c>
      <c r="F31" s="18"/>
      <c r="G31" s="18" t="s">
        <v>26</v>
      </c>
      <c r="H31" s="18" t="s">
        <v>29</v>
      </c>
      <c r="I31" s="18" t="s">
        <v>83</v>
      </c>
      <c r="J31" s="18" t="s">
        <v>141</v>
      </c>
      <c r="K31" s="83">
        <v>15</v>
      </c>
      <c r="L31" s="83">
        <v>8</v>
      </c>
      <c r="M31" s="83">
        <v>0.5</v>
      </c>
      <c r="N31" s="83">
        <v>2</v>
      </c>
      <c r="O31" s="83">
        <f>12.5+7</f>
        <v>19.5</v>
      </c>
      <c r="P31" s="83">
        <f>6.5+5+2+4.5</f>
        <v>18</v>
      </c>
      <c r="Q31" s="83">
        <f t="shared" si="0"/>
        <v>63</v>
      </c>
      <c r="R31" s="83"/>
    </row>
    <row r="32" spans="1:18" ht="20.100000000000001" customHeight="1">
      <c r="A32" s="130">
        <v>34</v>
      </c>
      <c r="B32" s="18" t="s">
        <v>689</v>
      </c>
      <c r="C32" s="18"/>
      <c r="D32" s="18" t="s">
        <v>168</v>
      </c>
      <c r="E32" s="18" t="s">
        <v>79</v>
      </c>
      <c r="F32" s="18"/>
      <c r="G32" s="18" t="s">
        <v>26</v>
      </c>
      <c r="H32" s="18" t="s">
        <v>75</v>
      </c>
      <c r="I32" s="18"/>
      <c r="J32" s="18" t="s">
        <v>140</v>
      </c>
      <c r="K32" s="18">
        <v>16</v>
      </c>
      <c r="L32" s="18">
        <v>10</v>
      </c>
      <c r="M32" s="18">
        <v>1</v>
      </c>
      <c r="N32" s="18">
        <v>1.25</v>
      </c>
      <c r="O32" s="18">
        <f>6+6+6.5</f>
        <v>18.5</v>
      </c>
      <c r="P32" s="18">
        <f>4+3+4+4.5</f>
        <v>15.5</v>
      </c>
      <c r="Q32" s="83">
        <f t="shared" si="0"/>
        <v>62.25</v>
      </c>
      <c r="R32" s="18"/>
    </row>
    <row r="33" spans="1:18" ht="20.100000000000001" customHeight="1">
      <c r="A33" s="130">
        <v>30</v>
      </c>
      <c r="B33" s="18" t="s">
        <v>672</v>
      </c>
      <c r="C33" s="18"/>
      <c r="D33" s="18" t="s">
        <v>168</v>
      </c>
      <c r="E33" s="18" t="s">
        <v>79</v>
      </c>
      <c r="F33" s="18"/>
      <c r="G33" s="18" t="s">
        <v>26</v>
      </c>
      <c r="H33" s="18" t="s">
        <v>100</v>
      </c>
      <c r="I33" s="18" t="s">
        <v>101</v>
      </c>
      <c r="J33" s="18" t="s">
        <v>140</v>
      </c>
      <c r="K33" s="83">
        <v>18</v>
      </c>
      <c r="L33" s="83">
        <v>10</v>
      </c>
      <c r="M33" s="83">
        <v>1</v>
      </c>
      <c r="N33" s="83">
        <v>2.5</v>
      </c>
      <c r="O33" s="83">
        <v>16.5</v>
      </c>
      <c r="P33" s="83">
        <v>14</v>
      </c>
      <c r="Q33" s="83">
        <f t="shared" si="0"/>
        <v>62</v>
      </c>
      <c r="R33" s="83"/>
    </row>
    <row r="34" spans="1:18" ht="20.100000000000001" customHeight="1">
      <c r="A34" s="130">
        <v>31</v>
      </c>
      <c r="B34" s="18" t="s">
        <v>673</v>
      </c>
      <c r="C34" s="18"/>
      <c r="D34" s="18" t="s">
        <v>168</v>
      </c>
      <c r="E34" s="18" t="s">
        <v>79</v>
      </c>
      <c r="F34" s="18"/>
      <c r="G34" s="18" t="s">
        <v>26</v>
      </c>
      <c r="H34" s="18" t="s">
        <v>100</v>
      </c>
      <c r="I34" s="18" t="s">
        <v>101</v>
      </c>
      <c r="J34" s="18" t="s">
        <v>140</v>
      </c>
      <c r="K34" s="83">
        <v>17</v>
      </c>
      <c r="L34" s="83">
        <v>10</v>
      </c>
      <c r="M34" s="83">
        <v>0.5</v>
      </c>
      <c r="N34" s="83">
        <v>2</v>
      </c>
      <c r="O34" s="83">
        <f>6.5+2.5+7+2.5</f>
        <v>18.5</v>
      </c>
      <c r="P34" s="83">
        <f>3.5+1.5+3+2+1.5+2.5</f>
        <v>14</v>
      </c>
      <c r="Q34" s="83">
        <f t="shared" ref="Q34:Q59" si="1">K34+L34+M34+N34+O34+P34</f>
        <v>62</v>
      </c>
      <c r="R34" s="83"/>
    </row>
    <row r="35" spans="1:18" ht="20.100000000000001" customHeight="1">
      <c r="A35" s="130">
        <v>19</v>
      </c>
      <c r="B35" s="18" t="s">
        <v>609</v>
      </c>
      <c r="C35" s="18"/>
      <c r="D35" s="18" t="s">
        <v>168</v>
      </c>
      <c r="E35" s="18" t="s">
        <v>79</v>
      </c>
      <c r="F35" s="18"/>
      <c r="G35" s="18" t="s">
        <v>26</v>
      </c>
      <c r="H35" s="18" t="s">
        <v>80</v>
      </c>
      <c r="I35" s="18" t="s">
        <v>81</v>
      </c>
      <c r="J35" s="18" t="s">
        <v>141</v>
      </c>
      <c r="K35" s="83">
        <v>15</v>
      </c>
      <c r="L35" s="83">
        <v>10</v>
      </c>
      <c r="M35" s="83">
        <v>0.5</v>
      </c>
      <c r="N35" s="83">
        <v>0.5</v>
      </c>
      <c r="O35" s="83">
        <f>8+9</f>
        <v>17</v>
      </c>
      <c r="P35" s="83">
        <f>4.5+1+0.5+2.5+2+4.5</f>
        <v>15</v>
      </c>
      <c r="Q35" s="83">
        <f t="shared" si="1"/>
        <v>58</v>
      </c>
      <c r="R35" s="83"/>
    </row>
    <row r="36" spans="1:18" ht="20.100000000000001" customHeight="1">
      <c r="A36" s="130">
        <v>28</v>
      </c>
      <c r="B36" s="18" t="s">
        <v>665</v>
      </c>
      <c r="C36" s="18"/>
      <c r="D36" s="18" t="s">
        <v>168</v>
      </c>
      <c r="E36" s="18" t="s">
        <v>79</v>
      </c>
      <c r="F36" s="18"/>
      <c r="G36" s="18" t="s">
        <v>26</v>
      </c>
      <c r="H36" s="18" t="s">
        <v>55</v>
      </c>
      <c r="I36" s="18" t="s">
        <v>83</v>
      </c>
      <c r="J36" s="18" t="s">
        <v>140</v>
      </c>
      <c r="K36" s="83">
        <v>14</v>
      </c>
      <c r="L36" s="83">
        <v>10</v>
      </c>
      <c r="M36" s="83"/>
      <c r="N36" s="83"/>
      <c r="O36" s="83"/>
      <c r="P36" s="83"/>
      <c r="Q36" s="83">
        <f t="shared" si="1"/>
        <v>24</v>
      </c>
      <c r="R36" s="83" t="s">
        <v>923</v>
      </c>
    </row>
    <row r="37" spans="1:18" ht="20.100000000000001" customHeight="1">
      <c r="A37" s="130">
        <v>18</v>
      </c>
      <c r="B37" s="18" t="s">
        <v>608</v>
      </c>
      <c r="C37" s="18"/>
      <c r="D37" s="18" t="s">
        <v>168</v>
      </c>
      <c r="E37" s="18" t="s">
        <v>79</v>
      </c>
      <c r="F37" s="18"/>
      <c r="G37" s="18" t="s">
        <v>26</v>
      </c>
      <c r="H37" s="18" t="s">
        <v>80</v>
      </c>
      <c r="I37" s="18"/>
      <c r="J37" s="18" t="s">
        <v>141</v>
      </c>
      <c r="K37" s="83"/>
      <c r="L37" s="83"/>
      <c r="M37" s="83"/>
      <c r="N37" s="83"/>
      <c r="O37" s="83"/>
      <c r="P37" s="83"/>
      <c r="Q37" s="83">
        <f t="shared" si="1"/>
        <v>0</v>
      </c>
      <c r="R37" s="83" t="s">
        <v>1276</v>
      </c>
    </row>
    <row r="38" spans="1:18" ht="20.100000000000001" customHeight="1">
      <c r="A38" s="130">
        <v>35</v>
      </c>
      <c r="B38" s="18" t="s">
        <v>693</v>
      </c>
      <c r="C38" s="18"/>
      <c r="D38" s="18" t="s">
        <v>168</v>
      </c>
      <c r="E38" s="18" t="s">
        <v>79</v>
      </c>
      <c r="F38" s="18"/>
      <c r="G38" s="18" t="s">
        <v>26</v>
      </c>
      <c r="H38" s="18" t="s">
        <v>299</v>
      </c>
      <c r="I38" s="18" t="s">
        <v>83</v>
      </c>
      <c r="J38" s="18" t="s">
        <v>140</v>
      </c>
      <c r="K38" s="18"/>
      <c r="L38" s="18"/>
      <c r="M38" s="18"/>
      <c r="N38" s="18"/>
      <c r="O38" s="18"/>
      <c r="P38" s="18"/>
      <c r="Q38" s="83">
        <f t="shared" si="1"/>
        <v>0</v>
      </c>
      <c r="R38" s="18" t="s">
        <v>923</v>
      </c>
    </row>
    <row r="39" spans="1:18" ht="20.100000000000001" customHeight="1">
      <c r="A39" s="130">
        <v>43</v>
      </c>
      <c r="B39" s="25" t="s">
        <v>612</v>
      </c>
      <c r="C39" s="25"/>
      <c r="D39" s="25" t="s">
        <v>168</v>
      </c>
      <c r="E39" s="25" t="s">
        <v>79</v>
      </c>
      <c r="F39" s="25"/>
      <c r="G39" s="25" t="s">
        <v>25</v>
      </c>
      <c r="H39" s="25" t="s">
        <v>113</v>
      </c>
      <c r="I39" s="25" t="s">
        <v>86</v>
      </c>
      <c r="J39" s="25" t="s">
        <v>140</v>
      </c>
      <c r="K39" s="84">
        <v>19</v>
      </c>
      <c r="L39" s="84">
        <v>10</v>
      </c>
      <c r="M39" s="84">
        <v>2</v>
      </c>
      <c r="N39" s="84">
        <v>3</v>
      </c>
      <c r="O39" s="84">
        <f>8.5+4+4+8</f>
        <v>24.5</v>
      </c>
      <c r="P39" s="84">
        <f>9.5+7.5+5.5</f>
        <v>22.5</v>
      </c>
      <c r="Q39" s="84">
        <f t="shared" si="1"/>
        <v>81</v>
      </c>
      <c r="R39" s="84"/>
    </row>
    <row r="40" spans="1:18" ht="20.100000000000001" customHeight="1">
      <c r="A40" s="130">
        <v>40</v>
      </c>
      <c r="B40" s="25" t="s">
        <v>606</v>
      </c>
      <c r="C40" s="25"/>
      <c r="D40" s="25" t="s">
        <v>168</v>
      </c>
      <c r="E40" s="25" t="s">
        <v>79</v>
      </c>
      <c r="F40" s="25"/>
      <c r="G40" s="25" t="s">
        <v>25</v>
      </c>
      <c r="H40" s="25" t="s">
        <v>80</v>
      </c>
      <c r="I40" s="25" t="s">
        <v>86</v>
      </c>
      <c r="J40" s="25" t="s">
        <v>141</v>
      </c>
      <c r="K40" s="84">
        <v>18</v>
      </c>
      <c r="L40" s="84">
        <v>10</v>
      </c>
      <c r="M40" s="84">
        <v>1.5</v>
      </c>
      <c r="N40" s="84">
        <v>2.5</v>
      </c>
      <c r="O40" s="84">
        <f>8+8+8</f>
        <v>24</v>
      </c>
      <c r="P40" s="84">
        <f>8.5+6+8</f>
        <v>22.5</v>
      </c>
      <c r="Q40" s="84">
        <f t="shared" si="1"/>
        <v>78.5</v>
      </c>
      <c r="R40" s="84"/>
    </row>
    <row r="41" spans="1:18" ht="20.100000000000001" customHeight="1">
      <c r="A41" s="130">
        <v>86</v>
      </c>
      <c r="B41" s="25" t="s">
        <v>1220</v>
      </c>
      <c r="C41" s="25"/>
      <c r="D41" s="25" t="s">
        <v>168</v>
      </c>
      <c r="E41" s="25" t="s">
        <v>79</v>
      </c>
      <c r="F41" s="25"/>
      <c r="G41" s="25" t="s">
        <v>95</v>
      </c>
      <c r="H41" s="25" t="s">
        <v>1222</v>
      </c>
      <c r="I41" s="25" t="s">
        <v>96</v>
      </c>
      <c r="J41" s="25" t="s">
        <v>144</v>
      </c>
      <c r="K41" s="25">
        <v>17</v>
      </c>
      <c r="L41" s="25">
        <v>10</v>
      </c>
      <c r="M41" s="25">
        <v>1</v>
      </c>
      <c r="N41" s="25">
        <v>2.5</v>
      </c>
      <c r="O41" s="25">
        <f>8+8+8</f>
        <v>24</v>
      </c>
      <c r="P41" s="25">
        <f>6+5+6.5+6.5</f>
        <v>24</v>
      </c>
      <c r="Q41" s="25">
        <f t="shared" si="1"/>
        <v>78.5</v>
      </c>
      <c r="R41" s="25"/>
    </row>
    <row r="42" spans="1:18" ht="20.100000000000001" customHeight="1">
      <c r="A42" s="130">
        <v>69</v>
      </c>
      <c r="B42" s="25" t="s">
        <v>674</v>
      </c>
      <c r="C42" s="25"/>
      <c r="D42" s="25" t="s">
        <v>168</v>
      </c>
      <c r="E42" s="25" t="s">
        <v>79</v>
      </c>
      <c r="F42" s="25"/>
      <c r="G42" s="25" t="s">
        <v>25</v>
      </c>
      <c r="H42" s="25" t="s">
        <v>100</v>
      </c>
      <c r="I42" s="25" t="s">
        <v>86</v>
      </c>
      <c r="J42" s="25" t="s">
        <v>140</v>
      </c>
      <c r="K42" s="84">
        <v>18</v>
      </c>
      <c r="L42" s="84">
        <v>10</v>
      </c>
      <c r="M42" s="84">
        <v>2.5</v>
      </c>
      <c r="N42" s="84">
        <v>3.5</v>
      </c>
      <c r="O42" s="84">
        <f>15+8</f>
        <v>23</v>
      </c>
      <c r="P42" s="84">
        <f>10+3.5+2.5+4.5</f>
        <v>20.5</v>
      </c>
      <c r="Q42" s="84">
        <f t="shared" si="1"/>
        <v>77.5</v>
      </c>
      <c r="R42" s="84"/>
    </row>
    <row r="43" spans="1:18" ht="20.100000000000001" customHeight="1">
      <c r="A43" s="130">
        <v>47</v>
      </c>
      <c r="B43" s="25" t="s">
        <v>618</v>
      </c>
      <c r="C43" s="25"/>
      <c r="D43" s="25" t="s">
        <v>168</v>
      </c>
      <c r="E43" s="25" t="s">
        <v>79</v>
      </c>
      <c r="F43" s="25"/>
      <c r="G43" s="25" t="s">
        <v>25</v>
      </c>
      <c r="H43" s="25" t="s">
        <v>56</v>
      </c>
      <c r="I43" s="25" t="s">
        <v>83</v>
      </c>
      <c r="J43" s="25" t="s">
        <v>140</v>
      </c>
      <c r="K43" s="84">
        <v>19</v>
      </c>
      <c r="L43" s="84">
        <v>10</v>
      </c>
      <c r="M43" s="84">
        <v>1</v>
      </c>
      <c r="N43" s="84">
        <v>1.5</v>
      </c>
      <c r="O43" s="84">
        <f>8+8+8</f>
        <v>24</v>
      </c>
      <c r="P43" s="84">
        <f>6+2.5+1.5+4+3+4.5</f>
        <v>21.5</v>
      </c>
      <c r="Q43" s="84">
        <f t="shared" si="1"/>
        <v>77</v>
      </c>
      <c r="R43" s="84"/>
    </row>
    <row r="44" spans="1:18" ht="20.100000000000001" customHeight="1">
      <c r="A44" s="130">
        <v>62</v>
      </c>
      <c r="B44" s="25" t="s">
        <v>645</v>
      </c>
      <c r="C44" s="25"/>
      <c r="D44" s="25" t="s">
        <v>168</v>
      </c>
      <c r="E44" s="25" t="s">
        <v>79</v>
      </c>
      <c r="F44" s="25"/>
      <c r="G44" s="25" t="s">
        <v>25</v>
      </c>
      <c r="H44" s="25" t="s">
        <v>61</v>
      </c>
      <c r="I44" s="25" t="s">
        <v>83</v>
      </c>
      <c r="J44" s="25" t="s">
        <v>141</v>
      </c>
      <c r="K44" s="84">
        <v>17</v>
      </c>
      <c r="L44" s="84">
        <v>10</v>
      </c>
      <c r="M44" s="84">
        <v>1.5</v>
      </c>
      <c r="N44" s="84">
        <v>3.5</v>
      </c>
      <c r="O44" s="84">
        <v>22.5</v>
      </c>
      <c r="P44" s="84">
        <v>22</v>
      </c>
      <c r="Q44" s="84">
        <f t="shared" si="1"/>
        <v>76.5</v>
      </c>
      <c r="R44" s="84"/>
    </row>
    <row r="45" spans="1:18" ht="20.100000000000001" customHeight="1">
      <c r="A45" s="130">
        <v>42</v>
      </c>
      <c r="B45" s="25" t="s">
        <v>610</v>
      </c>
      <c r="C45" s="25"/>
      <c r="D45" s="25" t="s">
        <v>168</v>
      </c>
      <c r="E45" s="25" t="s">
        <v>79</v>
      </c>
      <c r="F45" s="25"/>
      <c r="G45" s="25" t="s">
        <v>25</v>
      </c>
      <c r="H45" s="25" t="s">
        <v>74</v>
      </c>
      <c r="I45" s="25" t="s">
        <v>83</v>
      </c>
      <c r="J45" s="25" t="s">
        <v>140</v>
      </c>
      <c r="K45" s="84">
        <v>16</v>
      </c>
      <c r="L45" s="84">
        <v>10</v>
      </c>
      <c r="M45" s="84">
        <v>1</v>
      </c>
      <c r="N45" s="84">
        <v>2</v>
      </c>
      <c r="O45" s="84">
        <f>8+8.5+8.5</f>
        <v>25</v>
      </c>
      <c r="P45" s="84">
        <f>8+5.5+8.5</f>
        <v>22</v>
      </c>
      <c r="Q45" s="84">
        <f t="shared" si="1"/>
        <v>76</v>
      </c>
      <c r="R45" s="84"/>
    </row>
    <row r="46" spans="1:18">
      <c r="A46" s="130">
        <v>56</v>
      </c>
      <c r="B46" s="25" t="s">
        <v>633</v>
      </c>
      <c r="C46" s="25"/>
      <c r="D46" s="25" t="s">
        <v>168</v>
      </c>
      <c r="E46" s="25" t="s">
        <v>79</v>
      </c>
      <c r="F46" s="25"/>
      <c r="G46" s="25" t="s">
        <v>25</v>
      </c>
      <c r="H46" s="25" t="s">
        <v>124</v>
      </c>
      <c r="I46" s="25" t="s">
        <v>83</v>
      </c>
      <c r="J46" s="25" t="s">
        <v>140</v>
      </c>
      <c r="K46" s="84">
        <v>18</v>
      </c>
      <c r="L46" s="84">
        <v>10</v>
      </c>
      <c r="M46" s="84">
        <v>1.5</v>
      </c>
      <c r="N46" s="84">
        <v>2.5</v>
      </c>
      <c r="O46" s="84">
        <f>7.5+7+8</f>
        <v>22.5</v>
      </c>
      <c r="P46" s="84">
        <f>10+6+5.5</f>
        <v>21.5</v>
      </c>
      <c r="Q46" s="84">
        <f t="shared" si="1"/>
        <v>76</v>
      </c>
      <c r="R46" s="84"/>
    </row>
    <row r="47" spans="1:18">
      <c r="A47" s="130">
        <v>59</v>
      </c>
      <c r="B47" s="25" t="s">
        <v>640</v>
      </c>
      <c r="C47" s="25"/>
      <c r="D47" s="25" t="s">
        <v>168</v>
      </c>
      <c r="E47" s="25" t="s">
        <v>79</v>
      </c>
      <c r="F47" s="25"/>
      <c r="G47" s="25" t="s">
        <v>25</v>
      </c>
      <c r="H47" s="25" t="s">
        <v>53</v>
      </c>
      <c r="I47" s="25" t="s">
        <v>83</v>
      </c>
      <c r="J47" s="25" t="s">
        <v>140</v>
      </c>
      <c r="K47" s="84">
        <v>18</v>
      </c>
      <c r="L47" s="84">
        <v>10</v>
      </c>
      <c r="M47" s="84">
        <v>1</v>
      </c>
      <c r="N47" s="84">
        <v>2.5</v>
      </c>
      <c r="O47" s="84">
        <f>7.5+4+3.5+5+2.5</f>
        <v>22.5</v>
      </c>
      <c r="P47" s="84">
        <f>5.5+4+3.5+2.5+5.5</f>
        <v>21</v>
      </c>
      <c r="Q47" s="84">
        <f t="shared" si="1"/>
        <v>75</v>
      </c>
      <c r="R47" s="84"/>
    </row>
    <row r="48" spans="1:18" ht="20.100000000000001" customHeight="1">
      <c r="A48" s="130">
        <v>80</v>
      </c>
      <c r="B48" s="25" t="s">
        <v>691</v>
      </c>
      <c r="C48" s="25"/>
      <c r="D48" s="25" t="s">
        <v>168</v>
      </c>
      <c r="E48" s="25" t="s">
        <v>79</v>
      </c>
      <c r="F48" s="25"/>
      <c r="G48" s="25" t="s">
        <v>25</v>
      </c>
      <c r="H48" s="25" t="s">
        <v>75</v>
      </c>
      <c r="I48" s="25"/>
      <c r="J48" s="25" t="s">
        <v>140</v>
      </c>
      <c r="K48" s="25">
        <v>16</v>
      </c>
      <c r="L48" s="25">
        <v>10</v>
      </c>
      <c r="M48" s="25">
        <v>2</v>
      </c>
      <c r="N48" s="25">
        <v>3.5</v>
      </c>
      <c r="O48" s="25">
        <f>8+4.5+3.5+8</f>
        <v>24</v>
      </c>
      <c r="P48" s="25">
        <f>5.5+2+1.5+6+4.5</f>
        <v>19.5</v>
      </c>
      <c r="Q48" s="84">
        <f t="shared" si="1"/>
        <v>75</v>
      </c>
      <c r="R48" s="25"/>
    </row>
    <row r="49" spans="1:18" ht="20.100000000000001" customHeight="1">
      <c r="A49" s="130">
        <v>45</v>
      </c>
      <c r="B49" s="25" t="s">
        <v>615</v>
      </c>
      <c r="C49" s="25"/>
      <c r="D49" s="25" t="s">
        <v>168</v>
      </c>
      <c r="E49" s="25" t="s">
        <v>76</v>
      </c>
      <c r="F49" s="25"/>
      <c r="G49" s="25" t="s">
        <v>25</v>
      </c>
      <c r="H49" s="25" t="s">
        <v>114</v>
      </c>
      <c r="I49" s="25"/>
      <c r="J49" s="25" t="s">
        <v>141</v>
      </c>
      <c r="K49" s="84">
        <v>15</v>
      </c>
      <c r="L49" s="84">
        <v>10</v>
      </c>
      <c r="M49" s="84">
        <v>0.5</v>
      </c>
      <c r="N49" s="84">
        <v>2</v>
      </c>
      <c r="O49" s="84">
        <f>8+8.5+8</f>
        <v>24.5</v>
      </c>
      <c r="P49" s="84">
        <f>10.5+12</f>
        <v>22.5</v>
      </c>
      <c r="Q49" s="84">
        <f t="shared" si="1"/>
        <v>74.5</v>
      </c>
      <c r="R49" s="84"/>
    </row>
    <row r="50" spans="1:18" ht="20.100000000000001" customHeight="1">
      <c r="A50" s="130">
        <v>84</v>
      </c>
      <c r="B50" s="25" t="s">
        <v>653</v>
      </c>
      <c r="C50" s="25"/>
      <c r="D50" s="25" t="s">
        <v>168</v>
      </c>
      <c r="E50" s="25" t="s">
        <v>79</v>
      </c>
      <c r="F50" s="25"/>
      <c r="G50" s="25" t="s">
        <v>95</v>
      </c>
      <c r="H50" s="25" t="s">
        <v>52</v>
      </c>
      <c r="I50" s="25" t="s">
        <v>96</v>
      </c>
      <c r="J50" s="25" t="s">
        <v>144</v>
      </c>
      <c r="K50" s="84">
        <v>16</v>
      </c>
      <c r="L50" s="84">
        <v>10</v>
      </c>
      <c r="M50" s="84">
        <v>1.5</v>
      </c>
      <c r="N50" s="84">
        <v>2</v>
      </c>
      <c r="O50" s="84">
        <f>7+8+8</f>
        <v>23</v>
      </c>
      <c r="P50" s="84">
        <f>10+3.5+3+4+1.5</f>
        <v>22</v>
      </c>
      <c r="Q50" s="84">
        <f t="shared" si="1"/>
        <v>74.5</v>
      </c>
      <c r="R50" s="84"/>
    </row>
    <row r="51" spans="1:18" ht="20.100000000000001" customHeight="1">
      <c r="A51" s="130">
        <v>87</v>
      </c>
      <c r="B51" s="25" t="s">
        <v>1221</v>
      </c>
      <c r="C51" s="25"/>
      <c r="D51" s="25" t="s">
        <v>168</v>
      </c>
      <c r="E51" s="25" t="s">
        <v>79</v>
      </c>
      <c r="F51" s="25"/>
      <c r="G51" s="25" t="s">
        <v>95</v>
      </c>
      <c r="H51" s="25" t="s">
        <v>1222</v>
      </c>
      <c r="I51" s="25" t="s">
        <v>96</v>
      </c>
      <c r="J51" s="25" t="s">
        <v>144</v>
      </c>
      <c r="K51" s="25">
        <v>16</v>
      </c>
      <c r="L51" s="25">
        <v>10</v>
      </c>
      <c r="M51" s="25">
        <v>1.5</v>
      </c>
      <c r="N51" s="25">
        <v>2.5</v>
      </c>
      <c r="O51" s="25">
        <f>6.5+8+7.5</f>
        <v>22</v>
      </c>
      <c r="P51" s="25">
        <f>8+5.5+5+4</f>
        <v>22.5</v>
      </c>
      <c r="Q51" s="25">
        <f t="shared" si="1"/>
        <v>74.5</v>
      </c>
      <c r="R51" s="25"/>
    </row>
    <row r="52" spans="1:18" ht="20.100000000000001" customHeight="1">
      <c r="A52" s="130">
        <v>49</v>
      </c>
      <c r="B52" s="25" t="s">
        <v>622</v>
      </c>
      <c r="C52" s="25"/>
      <c r="D52" s="25" t="s">
        <v>168</v>
      </c>
      <c r="E52" s="25" t="s">
        <v>79</v>
      </c>
      <c r="F52" s="25"/>
      <c r="G52" s="25" t="s">
        <v>25</v>
      </c>
      <c r="H52" s="25" t="s">
        <v>72</v>
      </c>
      <c r="I52" s="25"/>
      <c r="J52" s="25" t="s">
        <v>140</v>
      </c>
      <c r="K52" s="84">
        <v>18</v>
      </c>
      <c r="L52" s="84">
        <v>10</v>
      </c>
      <c r="M52" s="84">
        <v>1</v>
      </c>
      <c r="N52" s="84">
        <v>3</v>
      </c>
      <c r="O52" s="84">
        <f>7.5+7+6.5</f>
        <v>21</v>
      </c>
      <c r="P52" s="84">
        <f>6.5+3.5+6.5+4.5</f>
        <v>21</v>
      </c>
      <c r="Q52" s="84">
        <f t="shared" si="1"/>
        <v>74</v>
      </c>
      <c r="R52" s="84"/>
    </row>
    <row r="53" spans="1:18" ht="20.100000000000001" customHeight="1">
      <c r="A53" s="130">
        <v>76</v>
      </c>
      <c r="B53" s="25" t="s">
        <v>685</v>
      </c>
      <c r="C53" s="25"/>
      <c r="D53" s="25" t="s">
        <v>168</v>
      </c>
      <c r="E53" s="25" t="s">
        <v>79</v>
      </c>
      <c r="F53" s="25"/>
      <c r="G53" s="25" t="s">
        <v>25</v>
      </c>
      <c r="H53" s="25" t="s">
        <v>139</v>
      </c>
      <c r="I53" s="25" t="s">
        <v>83</v>
      </c>
      <c r="J53" s="25" t="s">
        <v>140</v>
      </c>
      <c r="K53" s="25">
        <v>18</v>
      </c>
      <c r="L53" s="25">
        <v>10</v>
      </c>
      <c r="M53" s="25">
        <v>0.5</v>
      </c>
      <c r="N53" s="25">
        <v>2</v>
      </c>
      <c r="O53" s="25">
        <f>7+3.5+3.5+7</f>
        <v>21</v>
      </c>
      <c r="P53" s="25">
        <f>6+4.5+6.5+5</f>
        <v>22</v>
      </c>
      <c r="Q53" s="84">
        <f t="shared" si="1"/>
        <v>73.5</v>
      </c>
      <c r="R53" s="25"/>
    </row>
    <row r="54" spans="1:18" ht="20.100000000000001" customHeight="1">
      <c r="A54" s="130">
        <v>65</v>
      </c>
      <c r="B54" s="25" t="s">
        <v>661</v>
      </c>
      <c r="C54" s="25"/>
      <c r="D54" s="25" t="s">
        <v>168</v>
      </c>
      <c r="E54" s="25" t="s">
        <v>79</v>
      </c>
      <c r="F54" s="25"/>
      <c r="G54" s="25" t="s">
        <v>25</v>
      </c>
      <c r="H54" s="25" t="s">
        <v>34</v>
      </c>
      <c r="I54" s="25" t="s">
        <v>662</v>
      </c>
      <c r="J54" s="25" t="s">
        <v>140</v>
      </c>
      <c r="K54" s="84">
        <v>17</v>
      </c>
      <c r="L54" s="84">
        <v>10</v>
      </c>
      <c r="M54" s="84">
        <v>1</v>
      </c>
      <c r="N54" s="84">
        <v>2</v>
      </c>
      <c r="O54" s="84">
        <f>7.5+7+7.5</f>
        <v>22</v>
      </c>
      <c r="P54" s="84">
        <f>6+3.5+6+5.5</f>
        <v>21</v>
      </c>
      <c r="Q54" s="84">
        <f t="shared" si="1"/>
        <v>73</v>
      </c>
      <c r="R54" s="84"/>
    </row>
    <row r="55" spans="1:18" ht="20.100000000000001" customHeight="1">
      <c r="A55" s="130">
        <v>50</v>
      </c>
      <c r="B55" s="25" t="s">
        <v>623</v>
      </c>
      <c r="C55" s="25"/>
      <c r="D55" s="25" t="s">
        <v>168</v>
      </c>
      <c r="E55" s="25" t="s">
        <v>79</v>
      </c>
      <c r="F55" s="25"/>
      <c r="G55" s="25" t="s">
        <v>25</v>
      </c>
      <c r="H55" s="25" t="s">
        <v>72</v>
      </c>
      <c r="I55" s="25"/>
      <c r="J55" s="25" t="s">
        <v>140</v>
      </c>
      <c r="K55" s="84">
        <v>16</v>
      </c>
      <c r="L55" s="84">
        <v>10</v>
      </c>
      <c r="M55" s="84">
        <v>3</v>
      </c>
      <c r="N55" s="84">
        <v>6</v>
      </c>
      <c r="O55" s="84">
        <f>2+3+3+3.5+6.5</f>
        <v>18</v>
      </c>
      <c r="P55" s="84">
        <f>5.5+1.5+2+3.5+3+3+1</f>
        <v>19.5</v>
      </c>
      <c r="Q55" s="84">
        <f>K55+L55+M55+N55+O55+P55</f>
        <v>72.5</v>
      </c>
      <c r="R55" s="84"/>
    </row>
    <row r="56" spans="1:18" ht="20.100000000000001" customHeight="1">
      <c r="A56" s="130">
        <v>81</v>
      </c>
      <c r="B56" s="25" t="s">
        <v>692</v>
      </c>
      <c r="C56" s="25"/>
      <c r="D56" s="25" t="s">
        <v>168</v>
      </c>
      <c r="E56" s="25" t="s">
        <v>79</v>
      </c>
      <c r="F56" s="25"/>
      <c r="G56" s="25" t="s">
        <v>25</v>
      </c>
      <c r="H56" s="25" t="s">
        <v>107</v>
      </c>
      <c r="I56" s="25" t="s">
        <v>86</v>
      </c>
      <c r="J56" s="25" t="s">
        <v>140</v>
      </c>
      <c r="K56" s="25">
        <v>15</v>
      </c>
      <c r="L56" s="25">
        <v>8</v>
      </c>
      <c r="M56" s="25">
        <v>1</v>
      </c>
      <c r="N56" s="25">
        <v>2</v>
      </c>
      <c r="O56" s="25">
        <v>22</v>
      </c>
      <c r="P56" s="25">
        <v>24</v>
      </c>
      <c r="Q56" s="84">
        <f>K56+L56+M56+N56+O56+P56</f>
        <v>72</v>
      </c>
      <c r="R56" s="25"/>
    </row>
    <row r="57" spans="1:18" ht="20.100000000000001" customHeight="1">
      <c r="A57" s="130">
        <v>58</v>
      </c>
      <c r="B57" s="25" t="s">
        <v>638</v>
      </c>
      <c r="C57" s="25"/>
      <c r="D57" s="25" t="s">
        <v>168</v>
      </c>
      <c r="E57" s="25" t="s">
        <v>79</v>
      </c>
      <c r="F57" s="25"/>
      <c r="G57" s="25" t="s">
        <v>25</v>
      </c>
      <c r="H57" s="25" t="s">
        <v>30</v>
      </c>
      <c r="I57" s="25" t="s">
        <v>83</v>
      </c>
      <c r="J57" s="25" t="s">
        <v>140</v>
      </c>
      <c r="K57" s="84">
        <v>16</v>
      </c>
      <c r="L57" s="84">
        <v>10</v>
      </c>
      <c r="M57" s="84">
        <v>2</v>
      </c>
      <c r="N57" s="84">
        <v>3</v>
      </c>
      <c r="O57" s="84">
        <v>19.5</v>
      </c>
      <c r="P57" s="84">
        <v>20.5</v>
      </c>
      <c r="Q57" s="84">
        <f t="shared" si="1"/>
        <v>71</v>
      </c>
      <c r="R57" s="84"/>
    </row>
    <row r="58" spans="1:18" ht="20.100000000000001" customHeight="1">
      <c r="A58" s="130">
        <v>60</v>
      </c>
      <c r="B58" s="25" t="s">
        <v>641</v>
      </c>
      <c r="C58" s="25"/>
      <c r="D58" s="25" t="s">
        <v>168</v>
      </c>
      <c r="E58" s="25" t="s">
        <v>79</v>
      </c>
      <c r="F58" s="25"/>
      <c r="G58" s="25" t="s">
        <v>25</v>
      </c>
      <c r="H58" s="25" t="s">
        <v>53</v>
      </c>
      <c r="I58" s="25" t="s">
        <v>96</v>
      </c>
      <c r="J58" s="25" t="s">
        <v>140</v>
      </c>
      <c r="K58" s="84">
        <v>17</v>
      </c>
      <c r="L58" s="84">
        <v>10</v>
      </c>
      <c r="M58" s="84">
        <v>1</v>
      </c>
      <c r="N58" s="84">
        <v>2.5</v>
      </c>
      <c r="O58" s="84">
        <v>20</v>
      </c>
      <c r="P58" s="84">
        <f>5.5+5.5+8.5</f>
        <v>19.5</v>
      </c>
      <c r="Q58" s="84">
        <f t="shared" si="1"/>
        <v>70</v>
      </c>
      <c r="R58" s="84"/>
    </row>
    <row r="59" spans="1:18" ht="20.100000000000001" customHeight="1">
      <c r="A59" s="130">
        <v>63</v>
      </c>
      <c r="B59" s="25" t="s">
        <v>646</v>
      </c>
      <c r="C59" s="25"/>
      <c r="D59" s="25" t="s">
        <v>168</v>
      </c>
      <c r="E59" s="25" t="s">
        <v>79</v>
      </c>
      <c r="F59" s="25"/>
      <c r="G59" s="25" t="s">
        <v>25</v>
      </c>
      <c r="H59" s="25" t="s">
        <v>61</v>
      </c>
      <c r="I59" s="25" t="s">
        <v>83</v>
      </c>
      <c r="J59" s="25" t="s">
        <v>141</v>
      </c>
      <c r="K59" s="84">
        <v>12</v>
      </c>
      <c r="L59" s="84">
        <v>10</v>
      </c>
      <c r="M59" s="84">
        <v>2.5</v>
      </c>
      <c r="N59" s="84">
        <v>3.5</v>
      </c>
      <c r="O59" s="84">
        <v>20.5</v>
      </c>
      <c r="P59" s="84">
        <f>9.5+6+5.5</f>
        <v>21</v>
      </c>
      <c r="Q59" s="84">
        <f t="shared" si="1"/>
        <v>69.5</v>
      </c>
      <c r="R59" s="84"/>
    </row>
    <row r="60" spans="1:18" ht="20.100000000000001" customHeight="1">
      <c r="A60" s="130">
        <v>89</v>
      </c>
      <c r="B60" s="244" t="s">
        <v>1267</v>
      </c>
      <c r="C60" s="244"/>
      <c r="D60" s="25" t="s">
        <v>168</v>
      </c>
      <c r="E60" s="25" t="s">
        <v>79</v>
      </c>
      <c r="F60" s="244"/>
      <c r="G60" s="244" t="s">
        <v>24</v>
      </c>
      <c r="H60" s="25" t="s">
        <v>280</v>
      </c>
      <c r="I60" s="25"/>
      <c r="J60" s="25"/>
      <c r="K60" s="25">
        <v>16</v>
      </c>
      <c r="L60" s="25">
        <v>10</v>
      </c>
      <c r="M60" s="25">
        <v>1</v>
      </c>
      <c r="N60" s="25">
        <v>2.5</v>
      </c>
      <c r="O60" s="25">
        <f>7+3.5+3.5+6.5</f>
        <v>20.5</v>
      </c>
      <c r="P60" s="25">
        <f>5.5+2+2+3+2.5+1.5+1.5+1.5</f>
        <v>19.5</v>
      </c>
      <c r="Q60" s="25">
        <f>SUM(K60:P60)</f>
        <v>69.5</v>
      </c>
      <c r="R60" s="25"/>
    </row>
    <row r="61" spans="1:18" ht="20.100000000000001" customHeight="1">
      <c r="A61" s="130">
        <v>64</v>
      </c>
      <c r="B61" s="25" t="s">
        <v>655</v>
      </c>
      <c r="C61" s="25"/>
      <c r="D61" s="25" t="s">
        <v>168</v>
      </c>
      <c r="E61" s="25" t="s">
        <v>79</v>
      </c>
      <c r="F61" s="25"/>
      <c r="G61" s="25" t="s">
        <v>25</v>
      </c>
      <c r="H61" s="25" t="s">
        <v>60</v>
      </c>
      <c r="I61" s="25" t="s">
        <v>83</v>
      </c>
      <c r="J61" s="25" t="s">
        <v>140</v>
      </c>
      <c r="K61" s="84">
        <v>16</v>
      </c>
      <c r="L61" s="84">
        <v>10</v>
      </c>
      <c r="M61" s="84">
        <v>1</v>
      </c>
      <c r="N61" s="84">
        <v>2</v>
      </c>
      <c r="O61" s="84">
        <f>6.5+3.5+3.5+4+3</f>
        <v>20.5</v>
      </c>
      <c r="P61" s="84">
        <f>5+2.5+1.5+3.5+2.5+4.5</f>
        <v>19.5</v>
      </c>
      <c r="Q61" s="84">
        <f t="shared" ref="Q61:Q90" si="2">K61+L61+M61+N61+O61+P61</f>
        <v>69</v>
      </c>
      <c r="R61" s="84"/>
    </row>
    <row r="62" spans="1:18" ht="20.100000000000001" customHeight="1">
      <c r="A62" s="130">
        <v>70</v>
      </c>
      <c r="B62" s="25" t="s">
        <v>675</v>
      </c>
      <c r="C62" s="25"/>
      <c r="D62" s="25" t="s">
        <v>168</v>
      </c>
      <c r="E62" s="25" t="s">
        <v>79</v>
      </c>
      <c r="F62" s="25"/>
      <c r="G62" s="25" t="s">
        <v>25</v>
      </c>
      <c r="H62" s="25" t="s">
        <v>100</v>
      </c>
      <c r="I62" s="25" t="s">
        <v>86</v>
      </c>
      <c r="J62" s="25" t="s">
        <v>140</v>
      </c>
      <c r="K62" s="84">
        <v>12</v>
      </c>
      <c r="L62" s="84">
        <v>10</v>
      </c>
      <c r="M62" s="84">
        <v>2</v>
      </c>
      <c r="N62" s="84">
        <v>3</v>
      </c>
      <c r="O62" s="84">
        <v>22.5</v>
      </c>
      <c r="P62" s="84">
        <v>19.5</v>
      </c>
      <c r="Q62" s="84">
        <f t="shared" si="2"/>
        <v>69</v>
      </c>
      <c r="R62" s="84"/>
    </row>
    <row r="63" spans="1:18" ht="20.100000000000001" customHeight="1">
      <c r="A63" s="130">
        <v>74</v>
      </c>
      <c r="B63" s="25" t="s">
        <v>683</v>
      </c>
      <c r="C63" s="25"/>
      <c r="D63" s="25" t="s">
        <v>168</v>
      </c>
      <c r="E63" s="25" t="s">
        <v>79</v>
      </c>
      <c r="F63" s="25"/>
      <c r="G63" s="25" t="s">
        <v>25</v>
      </c>
      <c r="H63" s="25" t="s">
        <v>40</v>
      </c>
      <c r="I63" s="25" t="s">
        <v>83</v>
      </c>
      <c r="J63" s="25" t="s">
        <v>141</v>
      </c>
      <c r="K63" s="25">
        <v>17</v>
      </c>
      <c r="L63" s="25">
        <v>10</v>
      </c>
      <c r="M63" s="25">
        <v>1</v>
      </c>
      <c r="N63" s="25">
        <v>2</v>
      </c>
      <c r="O63" s="25">
        <f>7.5+6.5+6.5</f>
        <v>20.5</v>
      </c>
      <c r="P63" s="25">
        <f>7+1.5+5+4.5</f>
        <v>18</v>
      </c>
      <c r="Q63" s="84">
        <f>K63+L63+M63+N63+O63+P63</f>
        <v>68.5</v>
      </c>
      <c r="R63" s="25"/>
    </row>
    <row r="64" spans="1:18" ht="20.100000000000001" customHeight="1">
      <c r="A64" s="130">
        <v>82</v>
      </c>
      <c r="B64" s="25" t="s">
        <v>634</v>
      </c>
      <c r="C64" s="25"/>
      <c r="D64" s="25" t="s">
        <v>190</v>
      </c>
      <c r="E64" s="25" t="s">
        <v>103</v>
      </c>
      <c r="F64" s="25"/>
      <c r="G64" s="25" t="s">
        <v>104</v>
      </c>
      <c r="H64" s="25" t="s">
        <v>66</v>
      </c>
      <c r="I64" s="25" t="s">
        <v>153</v>
      </c>
      <c r="J64" s="25" t="s">
        <v>145</v>
      </c>
      <c r="K64" s="84">
        <v>17</v>
      </c>
      <c r="L64" s="84">
        <v>10</v>
      </c>
      <c r="M64" s="84">
        <v>1</v>
      </c>
      <c r="N64" s="84">
        <v>2</v>
      </c>
      <c r="O64" s="84">
        <f>20</f>
        <v>20</v>
      </c>
      <c r="P64" s="84">
        <f>7+1.5+5+5</f>
        <v>18.5</v>
      </c>
      <c r="Q64" s="84">
        <f t="shared" si="2"/>
        <v>68.5</v>
      </c>
      <c r="R64" s="84"/>
    </row>
    <row r="65" spans="1:18" ht="20.100000000000001" customHeight="1">
      <c r="A65" s="130">
        <v>71</v>
      </c>
      <c r="B65" s="25" t="s">
        <v>676</v>
      </c>
      <c r="C65" s="25"/>
      <c r="D65" s="25" t="s">
        <v>168</v>
      </c>
      <c r="E65" s="25" t="s">
        <v>79</v>
      </c>
      <c r="F65" s="25"/>
      <c r="G65" s="25" t="s">
        <v>25</v>
      </c>
      <c r="H65" s="25" t="s">
        <v>137</v>
      </c>
      <c r="I65" s="25" t="s">
        <v>83</v>
      </c>
      <c r="J65" s="25" t="s">
        <v>140</v>
      </c>
      <c r="K65" s="84">
        <v>15</v>
      </c>
      <c r="L65" s="84">
        <v>10</v>
      </c>
      <c r="M65" s="84">
        <v>1</v>
      </c>
      <c r="N65" s="84">
        <v>2.5</v>
      </c>
      <c r="O65" s="84">
        <f>7.5+6.5+8</f>
        <v>22</v>
      </c>
      <c r="P65" s="84">
        <f>4.5+1.5+1.5+4.5+4.5</f>
        <v>16.5</v>
      </c>
      <c r="Q65" s="84">
        <f t="shared" si="2"/>
        <v>67</v>
      </c>
      <c r="R65" s="84"/>
    </row>
    <row r="66" spans="1:18" ht="20.100000000000001" customHeight="1">
      <c r="A66" s="130">
        <v>48</v>
      </c>
      <c r="B66" s="25" t="s">
        <v>620</v>
      </c>
      <c r="C66" s="25"/>
      <c r="D66" s="25" t="s">
        <v>168</v>
      </c>
      <c r="E66" s="25" t="s">
        <v>79</v>
      </c>
      <c r="F66" s="25"/>
      <c r="G66" s="25" t="s">
        <v>25</v>
      </c>
      <c r="H66" s="25" t="s">
        <v>196</v>
      </c>
      <c r="I66" s="25" t="s">
        <v>83</v>
      </c>
      <c r="J66" s="25" t="s">
        <v>141</v>
      </c>
      <c r="K66" s="84">
        <v>14</v>
      </c>
      <c r="L66" s="84">
        <v>10</v>
      </c>
      <c r="M66" s="84">
        <v>1</v>
      </c>
      <c r="N66" s="84">
        <v>2</v>
      </c>
      <c r="O66" s="84">
        <f>7+3.5+3.5+3.5+2.5</f>
        <v>20</v>
      </c>
      <c r="P66" s="84">
        <f>5.5+1.5+1.5+6+3+1.5</f>
        <v>19</v>
      </c>
      <c r="Q66" s="84">
        <f t="shared" si="2"/>
        <v>66</v>
      </c>
      <c r="R66" s="84"/>
    </row>
    <row r="67" spans="1:18" ht="20.100000000000001" customHeight="1">
      <c r="A67" s="130">
        <v>75</v>
      </c>
      <c r="B67" s="25" t="s">
        <v>684</v>
      </c>
      <c r="C67" s="25"/>
      <c r="D67" s="25" t="s">
        <v>168</v>
      </c>
      <c r="E67" s="25" t="s">
        <v>79</v>
      </c>
      <c r="F67" s="25"/>
      <c r="G67" s="25" t="s">
        <v>25</v>
      </c>
      <c r="H67" s="25" t="s">
        <v>40</v>
      </c>
      <c r="I67" s="25" t="s">
        <v>83</v>
      </c>
      <c r="J67" s="25" t="s">
        <v>141</v>
      </c>
      <c r="K67" s="25">
        <v>16</v>
      </c>
      <c r="L67" s="25">
        <v>10</v>
      </c>
      <c r="M67" s="25">
        <v>1.5</v>
      </c>
      <c r="N67" s="25">
        <v>2</v>
      </c>
      <c r="O67" s="25">
        <f>7+3.5+2.5+6</f>
        <v>19</v>
      </c>
      <c r="P67" s="25">
        <f>6.5+1.5+5+4.5</f>
        <v>17.5</v>
      </c>
      <c r="Q67" s="84">
        <f t="shared" si="2"/>
        <v>66</v>
      </c>
      <c r="R67" s="25"/>
    </row>
    <row r="68" spans="1:18" ht="20.100000000000001" customHeight="1">
      <c r="A68" s="130">
        <v>73</v>
      </c>
      <c r="B68" s="25" t="s">
        <v>681</v>
      </c>
      <c r="C68" s="25"/>
      <c r="D68" s="25" t="s">
        <v>168</v>
      </c>
      <c r="E68" s="25" t="s">
        <v>79</v>
      </c>
      <c r="F68" s="25"/>
      <c r="G68" s="25" t="s">
        <v>25</v>
      </c>
      <c r="H68" s="25" t="s">
        <v>58</v>
      </c>
      <c r="I68" s="25" t="s">
        <v>83</v>
      </c>
      <c r="J68" s="25" t="s">
        <v>140</v>
      </c>
      <c r="K68" s="84">
        <v>15</v>
      </c>
      <c r="L68" s="84">
        <v>10</v>
      </c>
      <c r="M68" s="84">
        <v>1</v>
      </c>
      <c r="N68" s="84">
        <v>2</v>
      </c>
      <c r="O68" s="84">
        <f>6.5+7+7</f>
        <v>20.5</v>
      </c>
      <c r="P68" s="84">
        <f>4.5+3+5+4.5</f>
        <v>17</v>
      </c>
      <c r="Q68" s="84">
        <f t="shared" si="2"/>
        <v>65.5</v>
      </c>
      <c r="R68" s="84"/>
    </row>
    <row r="69" spans="1:18" ht="20.100000000000001" customHeight="1">
      <c r="A69" s="130">
        <v>57</v>
      </c>
      <c r="B69" s="25" t="s">
        <v>637</v>
      </c>
      <c r="C69" s="25"/>
      <c r="D69" s="25" t="s">
        <v>168</v>
      </c>
      <c r="E69" s="25" t="s">
        <v>79</v>
      </c>
      <c r="F69" s="25"/>
      <c r="G69" s="25" t="s">
        <v>25</v>
      </c>
      <c r="H69" s="25" t="s">
        <v>65</v>
      </c>
      <c r="I69" s="25" t="s">
        <v>83</v>
      </c>
      <c r="J69" s="25" t="s">
        <v>140</v>
      </c>
      <c r="K69" s="84">
        <v>15</v>
      </c>
      <c r="L69" s="84">
        <v>10</v>
      </c>
      <c r="M69" s="84">
        <v>1</v>
      </c>
      <c r="N69" s="84">
        <v>3</v>
      </c>
      <c r="O69" s="84">
        <v>19</v>
      </c>
      <c r="P69" s="84">
        <v>16.5</v>
      </c>
      <c r="Q69" s="84">
        <f t="shared" si="2"/>
        <v>64.5</v>
      </c>
      <c r="R69" s="84"/>
    </row>
    <row r="70" spans="1:18" ht="20.100000000000001" customHeight="1">
      <c r="A70" s="130">
        <v>79</v>
      </c>
      <c r="B70" s="25" t="s">
        <v>690</v>
      </c>
      <c r="C70" s="25"/>
      <c r="D70" s="25" t="s">
        <v>168</v>
      </c>
      <c r="E70" s="25" t="s">
        <v>79</v>
      </c>
      <c r="F70" s="25"/>
      <c r="G70" s="25" t="s">
        <v>25</v>
      </c>
      <c r="H70" s="25" t="s">
        <v>75</v>
      </c>
      <c r="I70" s="25"/>
      <c r="J70" s="25" t="s">
        <v>140</v>
      </c>
      <c r="K70" s="25">
        <v>12</v>
      </c>
      <c r="L70" s="25">
        <v>10</v>
      </c>
      <c r="M70" s="25">
        <v>1</v>
      </c>
      <c r="N70" s="25">
        <v>1.5</v>
      </c>
      <c r="O70" s="25">
        <f>7.5+3.5+9</f>
        <v>20</v>
      </c>
      <c r="P70" s="25">
        <f>5.5+4+6+4.5</f>
        <v>20</v>
      </c>
      <c r="Q70" s="84">
        <f t="shared" si="2"/>
        <v>64.5</v>
      </c>
      <c r="R70" s="25"/>
    </row>
    <row r="71" spans="1:18" ht="20.100000000000001" customHeight="1">
      <c r="A71" s="130">
        <v>55</v>
      </c>
      <c r="B71" s="25" t="s">
        <v>631</v>
      </c>
      <c r="C71" s="25"/>
      <c r="D71" s="25" t="s">
        <v>168</v>
      </c>
      <c r="E71" s="25" t="s">
        <v>79</v>
      </c>
      <c r="F71" s="25"/>
      <c r="G71" s="25" t="s">
        <v>25</v>
      </c>
      <c r="H71" s="25" t="s">
        <v>123</v>
      </c>
      <c r="I71" s="25" t="s">
        <v>632</v>
      </c>
      <c r="J71" s="25" t="s">
        <v>141</v>
      </c>
      <c r="K71" s="84">
        <v>10</v>
      </c>
      <c r="L71" s="84">
        <v>10</v>
      </c>
      <c r="M71" s="84">
        <v>0.5</v>
      </c>
      <c r="N71" s="84">
        <v>2</v>
      </c>
      <c r="O71" s="84">
        <v>21</v>
      </c>
      <c r="P71" s="84">
        <v>20.5</v>
      </c>
      <c r="Q71" s="84">
        <f t="shared" si="2"/>
        <v>64</v>
      </c>
      <c r="R71" s="84"/>
    </row>
    <row r="72" spans="1:18" ht="20.100000000000001" customHeight="1">
      <c r="A72" s="130">
        <v>83</v>
      </c>
      <c r="B72" s="25" t="s">
        <v>668</v>
      </c>
      <c r="C72" s="25"/>
      <c r="D72" s="25" t="s">
        <v>168</v>
      </c>
      <c r="E72" s="25" t="s">
        <v>79</v>
      </c>
      <c r="F72" s="25"/>
      <c r="G72" s="25" t="s">
        <v>104</v>
      </c>
      <c r="H72" s="25" t="s">
        <v>27</v>
      </c>
      <c r="I72" s="25" t="s">
        <v>102</v>
      </c>
      <c r="J72" s="25" t="s">
        <v>145</v>
      </c>
      <c r="K72" s="84">
        <v>17</v>
      </c>
      <c r="L72" s="84">
        <v>10</v>
      </c>
      <c r="M72" s="84">
        <v>0.5</v>
      </c>
      <c r="N72" s="84">
        <v>2</v>
      </c>
      <c r="O72" s="84">
        <f>5.5+5.5+6</f>
        <v>17</v>
      </c>
      <c r="P72" s="84">
        <f>5.5+1.5+1.5+2.5+2+1.5+3</f>
        <v>17.5</v>
      </c>
      <c r="Q72" s="84">
        <f t="shared" si="2"/>
        <v>64</v>
      </c>
      <c r="R72" s="84"/>
    </row>
    <row r="73" spans="1:18" ht="20.100000000000001" customHeight="1">
      <c r="A73" s="130">
        <v>68</v>
      </c>
      <c r="B73" s="25" t="s">
        <v>666</v>
      </c>
      <c r="C73" s="25"/>
      <c r="D73" s="25" t="s">
        <v>168</v>
      </c>
      <c r="E73" s="25" t="s">
        <v>79</v>
      </c>
      <c r="F73" s="25"/>
      <c r="G73" s="25" t="s">
        <v>25</v>
      </c>
      <c r="H73" s="25" t="s">
        <v>27</v>
      </c>
      <c r="I73" s="25" t="s">
        <v>667</v>
      </c>
      <c r="J73" s="25" t="s">
        <v>141</v>
      </c>
      <c r="K73" s="84">
        <v>15</v>
      </c>
      <c r="L73" s="84">
        <v>10</v>
      </c>
      <c r="M73" s="84">
        <v>1</v>
      </c>
      <c r="N73" s="84">
        <v>2.5</v>
      </c>
      <c r="O73" s="84">
        <f>6+2.5+3+6</f>
        <v>17.5</v>
      </c>
      <c r="P73" s="84">
        <f>5+3+5+4.5</f>
        <v>17.5</v>
      </c>
      <c r="Q73" s="84">
        <f t="shared" si="2"/>
        <v>63.5</v>
      </c>
      <c r="R73" s="84"/>
    </row>
    <row r="74" spans="1:18" ht="20.100000000000001" customHeight="1">
      <c r="A74" s="130">
        <v>85</v>
      </c>
      <c r="B74" s="25" t="s">
        <v>654</v>
      </c>
      <c r="C74" s="25"/>
      <c r="D74" s="25" t="s">
        <v>168</v>
      </c>
      <c r="E74" s="25" t="s">
        <v>79</v>
      </c>
      <c r="F74" s="25"/>
      <c r="G74" s="25" t="s">
        <v>95</v>
      </c>
      <c r="H74" s="25" t="s">
        <v>52</v>
      </c>
      <c r="I74" s="25" t="s">
        <v>96</v>
      </c>
      <c r="J74" s="25" t="s">
        <v>144</v>
      </c>
      <c r="K74" s="84">
        <v>11</v>
      </c>
      <c r="L74" s="84">
        <v>10</v>
      </c>
      <c r="M74" s="84">
        <v>1</v>
      </c>
      <c r="N74" s="84">
        <v>2</v>
      </c>
      <c r="O74" s="84">
        <f>6.5+3.5+3+4.5+2.5</f>
        <v>20</v>
      </c>
      <c r="P74" s="84">
        <f>5.5+2+1.5+3.5+2.5+4.5</f>
        <v>19.5</v>
      </c>
      <c r="Q74" s="84">
        <f t="shared" si="2"/>
        <v>63.5</v>
      </c>
      <c r="R74" s="84"/>
    </row>
    <row r="75" spans="1:18" ht="20.100000000000001" customHeight="1">
      <c r="A75" s="130">
        <v>88</v>
      </c>
      <c r="B75" s="25" t="s">
        <v>1265</v>
      </c>
      <c r="C75" s="245"/>
      <c r="D75" s="246" t="s">
        <v>168</v>
      </c>
      <c r="E75" s="25" t="s">
        <v>79</v>
      </c>
      <c r="F75" s="245"/>
      <c r="G75" s="25" t="s">
        <v>24</v>
      </c>
      <c r="H75" s="25" t="s">
        <v>70</v>
      </c>
      <c r="I75" s="25"/>
      <c r="J75" s="25"/>
      <c r="K75" s="25">
        <v>10</v>
      </c>
      <c r="L75" s="25">
        <v>10</v>
      </c>
      <c r="M75" s="25">
        <v>1</v>
      </c>
      <c r="N75" s="25">
        <v>2.5</v>
      </c>
      <c r="O75" s="25">
        <f>7+7+7</f>
        <v>21</v>
      </c>
      <c r="P75" s="25">
        <f>5+1.5+2+3.5+2.5+4.5</f>
        <v>19</v>
      </c>
      <c r="Q75" s="25">
        <f t="shared" si="2"/>
        <v>63.5</v>
      </c>
      <c r="R75" s="25"/>
    </row>
    <row r="76" spans="1:18" ht="20.100000000000001" customHeight="1">
      <c r="A76" s="130">
        <v>51</v>
      </c>
      <c r="B76" s="25" t="s">
        <v>626</v>
      </c>
      <c r="C76" s="25"/>
      <c r="D76" s="25" t="s">
        <v>168</v>
      </c>
      <c r="E76" s="25" t="s">
        <v>79</v>
      </c>
      <c r="F76" s="25"/>
      <c r="G76" s="25" t="s">
        <v>25</v>
      </c>
      <c r="H76" s="25" t="s">
        <v>69</v>
      </c>
      <c r="I76" s="25" t="s">
        <v>86</v>
      </c>
      <c r="J76" s="25" t="s">
        <v>140</v>
      </c>
      <c r="K76" s="84">
        <v>17</v>
      </c>
      <c r="L76" s="84">
        <v>10</v>
      </c>
      <c r="M76" s="84">
        <v>1</v>
      </c>
      <c r="N76" s="84">
        <v>1.5</v>
      </c>
      <c r="O76" s="84">
        <f>5.5+5.5+6</f>
        <v>17</v>
      </c>
      <c r="P76" s="84">
        <f>7.5+3+6</f>
        <v>16.5</v>
      </c>
      <c r="Q76" s="84">
        <f t="shared" si="2"/>
        <v>63</v>
      </c>
      <c r="R76" s="84"/>
    </row>
    <row r="77" spans="1:18" ht="20.100000000000001" customHeight="1">
      <c r="A77" s="130">
        <v>72</v>
      </c>
      <c r="B77" s="25" t="s">
        <v>680</v>
      </c>
      <c r="C77" s="25"/>
      <c r="D77" s="25" t="s">
        <v>168</v>
      </c>
      <c r="E77" s="25" t="s">
        <v>79</v>
      </c>
      <c r="F77" s="25"/>
      <c r="G77" s="25" t="s">
        <v>25</v>
      </c>
      <c r="H77" s="25" t="s">
        <v>58</v>
      </c>
      <c r="I77" s="25" t="s">
        <v>83</v>
      </c>
      <c r="J77" s="25" t="s">
        <v>140</v>
      </c>
      <c r="K77" s="84">
        <v>13</v>
      </c>
      <c r="L77" s="84">
        <v>10</v>
      </c>
      <c r="M77" s="84">
        <v>1</v>
      </c>
      <c r="N77" s="84">
        <v>2.5</v>
      </c>
      <c r="O77" s="84">
        <f>6+3.5+3+3.5+2.5</f>
        <v>18.5</v>
      </c>
      <c r="P77" s="84">
        <f>4.5+3.5+5+4.5</f>
        <v>17.5</v>
      </c>
      <c r="Q77" s="84">
        <f t="shared" si="2"/>
        <v>62.5</v>
      </c>
      <c r="R77" s="84"/>
    </row>
    <row r="78" spans="1:18">
      <c r="A78" s="130">
        <v>44</v>
      </c>
      <c r="B78" s="25" t="s">
        <v>613</v>
      </c>
      <c r="C78" s="25"/>
      <c r="D78" s="25" t="s">
        <v>168</v>
      </c>
      <c r="E78" s="25" t="s">
        <v>79</v>
      </c>
      <c r="F78" s="25"/>
      <c r="G78" s="25" t="s">
        <v>25</v>
      </c>
      <c r="H78" s="25" t="s">
        <v>113</v>
      </c>
      <c r="I78" s="25" t="s">
        <v>83</v>
      </c>
      <c r="J78" s="25" t="s">
        <v>140</v>
      </c>
      <c r="K78" s="84">
        <v>12</v>
      </c>
      <c r="L78" s="84">
        <v>10</v>
      </c>
      <c r="M78" s="84">
        <v>1</v>
      </c>
      <c r="N78" s="84">
        <v>2</v>
      </c>
      <c r="O78" s="84">
        <f>12.5+7</f>
        <v>19.5</v>
      </c>
      <c r="P78" s="84">
        <f>8.5+4.5+4.5</f>
        <v>17.5</v>
      </c>
      <c r="Q78" s="84">
        <f t="shared" si="2"/>
        <v>62</v>
      </c>
      <c r="R78" s="84"/>
    </row>
    <row r="79" spans="1:18">
      <c r="A79" s="130">
        <v>78</v>
      </c>
      <c r="B79" s="25" t="s">
        <v>687</v>
      </c>
      <c r="C79" s="25"/>
      <c r="D79" s="25" t="s">
        <v>168</v>
      </c>
      <c r="E79" s="25" t="s">
        <v>79</v>
      </c>
      <c r="F79" s="25"/>
      <c r="G79" s="25" t="s">
        <v>25</v>
      </c>
      <c r="H79" s="25" t="s">
        <v>71</v>
      </c>
      <c r="I79" s="25" t="s">
        <v>119</v>
      </c>
      <c r="J79" s="25" t="s">
        <v>140</v>
      </c>
      <c r="K79" s="25">
        <v>12</v>
      </c>
      <c r="L79" s="25">
        <v>8</v>
      </c>
      <c r="M79" s="25">
        <v>5</v>
      </c>
      <c r="N79" s="25">
        <v>2</v>
      </c>
      <c r="O79" s="25">
        <v>18</v>
      </c>
      <c r="P79" s="25">
        <f>17</f>
        <v>17</v>
      </c>
      <c r="Q79" s="84">
        <f t="shared" si="2"/>
        <v>62</v>
      </c>
      <c r="R79" s="25"/>
    </row>
    <row r="80" spans="1:18">
      <c r="A80" s="130">
        <v>77</v>
      </c>
      <c r="B80" s="25" t="s">
        <v>686</v>
      </c>
      <c r="C80" s="25"/>
      <c r="D80" s="25" t="s">
        <v>168</v>
      </c>
      <c r="E80" s="25" t="s">
        <v>103</v>
      </c>
      <c r="F80" s="25"/>
      <c r="G80" s="25" t="s">
        <v>25</v>
      </c>
      <c r="H80" s="25" t="s">
        <v>105</v>
      </c>
      <c r="I80" s="25" t="s">
        <v>86</v>
      </c>
      <c r="J80" s="25" t="s">
        <v>140</v>
      </c>
      <c r="K80" s="25">
        <v>12</v>
      </c>
      <c r="L80" s="25">
        <v>10</v>
      </c>
      <c r="M80" s="25">
        <v>0.5</v>
      </c>
      <c r="N80" s="25">
        <v>1.5</v>
      </c>
      <c r="O80" s="25">
        <f>7+3+3.5+7</f>
        <v>20.5</v>
      </c>
      <c r="P80" s="25">
        <v>16.5</v>
      </c>
      <c r="Q80" s="84">
        <f t="shared" si="2"/>
        <v>61</v>
      </c>
      <c r="R80" s="25"/>
    </row>
    <row r="81" spans="1:18">
      <c r="A81" s="130">
        <v>67</v>
      </c>
      <c r="B81" s="25" t="s">
        <v>664</v>
      </c>
      <c r="C81" s="25"/>
      <c r="D81" s="25" t="s">
        <v>168</v>
      </c>
      <c r="E81" s="25" t="s">
        <v>79</v>
      </c>
      <c r="F81" s="25"/>
      <c r="G81" s="25" t="s">
        <v>25</v>
      </c>
      <c r="H81" s="25" t="s">
        <v>55</v>
      </c>
      <c r="I81" s="25" t="s">
        <v>83</v>
      </c>
      <c r="J81" s="25" t="s">
        <v>140</v>
      </c>
      <c r="K81" s="84">
        <v>10</v>
      </c>
      <c r="L81" s="84">
        <v>10</v>
      </c>
      <c r="M81" s="84">
        <v>0.5</v>
      </c>
      <c r="N81" s="84">
        <v>2</v>
      </c>
      <c r="O81" s="84">
        <f>6.5+5.5+7</f>
        <v>19</v>
      </c>
      <c r="P81" s="84">
        <f>4.5+1.5+1.5+4.5+4.5</f>
        <v>16.5</v>
      </c>
      <c r="Q81" s="84">
        <f t="shared" si="2"/>
        <v>58</v>
      </c>
      <c r="R81" s="84"/>
    </row>
    <row r="82" spans="1:18">
      <c r="A82" s="130">
        <v>38</v>
      </c>
      <c r="B82" s="25" t="s">
        <v>657</v>
      </c>
      <c r="C82" s="25"/>
      <c r="D82" s="25" t="s">
        <v>168</v>
      </c>
      <c r="E82" s="25" t="s">
        <v>79</v>
      </c>
      <c r="F82" s="25"/>
      <c r="G82" s="25" t="s">
        <v>259</v>
      </c>
      <c r="H82" s="25" t="s">
        <v>59</v>
      </c>
      <c r="I82" s="25" t="s">
        <v>658</v>
      </c>
      <c r="J82" s="25" t="s">
        <v>143</v>
      </c>
      <c r="K82" s="84">
        <v>12</v>
      </c>
      <c r="L82" s="84">
        <v>10</v>
      </c>
      <c r="M82" s="84">
        <v>1</v>
      </c>
      <c r="N82" s="84">
        <v>1.5</v>
      </c>
      <c r="O82" s="84">
        <f>5+8+2.5</f>
        <v>15.5</v>
      </c>
      <c r="P82" s="84">
        <f>5+3+5+4</f>
        <v>17</v>
      </c>
      <c r="Q82" s="84">
        <f t="shared" si="2"/>
        <v>57</v>
      </c>
      <c r="R82" s="84"/>
    </row>
    <row r="83" spans="1:18">
      <c r="A83" s="130">
        <v>53</v>
      </c>
      <c r="B83" s="25" t="s">
        <v>629</v>
      </c>
      <c r="C83" s="25"/>
      <c r="D83" s="25" t="s">
        <v>168</v>
      </c>
      <c r="E83" s="25" t="s">
        <v>79</v>
      </c>
      <c r="F83" s="25"/>
      <c r="G83" s="25" t="s">
        <v>25</v>
      </c>
      <c r="H83" s="25" t="s">
        <v>122</v>
      </c>
      <c r="I83" s="25" t="s">
        <v>119</v>
      </c>
      <c r="J83" s="25" t="s">
        <v>140</v>
      </c>
      <c r="K83" s="84">
        <v>13</v>
      </c>
      <c r="L83" s="84">
        <v>10</v>
      </c>
      <c r="M83" s="84">
        <v>0.5</v>
      </c>
      <c r="N83" s="84">
        <v>1.5</v>
      </c>
      <c r="O83" s="84">
        <v>16.5</v>
      </c>
      <c r="P83" s="84">
        <v>15.5</v>
      </c>
      <c r="Q83" s="84">
        <f t="shared" si="2"/>
        <v>57</v>
      </c>
      <c r="R83" s="84"/>
    </row>
    <row r="84" spans="1:18">
      <c r="A84" s="130">
        <v>46</v>
      </c>
      <c r="B84" s="25" t="s">
        <v>617</v>
      </c>
      <c r="C84" s="25"/>
      <c r="D84" s="25" t="s">
        <v>168</v>
      </c>
      <c r="E84" s="25" t="s">
        <v>79</v>
      </c>
      <c r="F84" s="25"/>
      <c r="G84" s="25" t="s">
        <v>25</v>
      </c>
      <c r="H84" s="25" t="s">
        <v>87</v>
      </c>
      <c r="I84" s="25" t="s">
        <v>86</v>
      </c>
      <c r="J84" s="25" t="s">
        <v>140</v>
      </c>
      <c r="K84" s="84">
        <v>10</v>
      </c>
      <c r="L84" s="84">
        <v>8</v>
      </c>
      <c r="M84" s="84">
        <v>0.5</v>
      </c>
      <c r="N84" s="84">
        <v>1</v>
      </c>
      <c r="O84" s="84">
        <f>6.5+6.5+6</f>
        <v>19</v>
      </c>
      <c r="P84" s="84">
        <f>4.5+1.5+1.5+3+1.5+1.5+3</f>
        <v>16.5</v>
      </c>
      <c r="Q84" s="84">
        <f t="shared" si="2"/>
        <v>55</v>
      </c>
      <c r="R84" s="84"/>
    </row>
    <row r="85" spans="1:18">
      <c r="A85" s="130">
        <v>52</v>
      </c>
      <c r="B85" s="25" t="s">
        <v>628</v>
      </c>
      <c r="C85" s="25"/>
      <c r="D85" s="25" t="s">
        <v>168</v>
      </c>
      <c r="E85" s="25" t="s">
        <v>79</v>
      </c>
      <c r="F85" s="25"/>
      <c r="G85" s="25" t="s">
        <v>25</v>
      </c>
      <c r="H85" s="25" t="s">
        <v>122</v>
      </c>
      <c r="I85" s="25" t="s">
        <v>86</v>
      </c>
      <c r="J85" s="25" t="s">
        <v>140</v>
      </c>
      <c r="K85" s="84">
        <v>10</v>
      </c>
      <c r="L85" s="84">
        <v>8</v>
      </c>
      <c r="M85" s="84">
        <v>1.5</v>
      </c>
      <c r="N85" s="84">
        <v>2.5</v>
      </c>
      <c r="O85" s="84">
        <v>17.5</v>
      </c>
      <c r="P85" s="84">
        <v>15.5</v>
      </c>
      <c r="Q85" s="84">
        <f t="shared" si="2"/>
        <v>55</v>
      </c>
      <c r="R85" s="84"/>
    </row>
    <row r="86" spans="1:18">
      <c r="A86" s="130">
        <v>66</v>
      </c>
      <c r="B86" s="25" t="s">
        <v>663</v>
      </c>
      <c r="C86" s="25"/>
      <c r="D86" s="25" t="s">
        <v>168</v>
      </c>
      <c r="E86" s="25" t="s">
        <v>79</v>
      </c>
      <c r="F86" s="25"/>
      <c r="G86" s="25" t="s">
        <v>25</v>
      </c>
      <c r="H86" s="25" t="s">
        <v>55</v>
      </c>
      <c r="I86" s="25" t="s">
        <v>83</v>
      </c>
      <c r="J86" s="25" t="s">
        <v>140</v>
      </c>
      <c r="K86" s="84">
        <v>10</v>
      </c>
      <c r="L86" s="84">
        <v>8</v>
      </c>
      <c r="M86" s="84">
        <v>2.5</v>
      </c>
      <c r="N86" s="84">
        <v>1</v>
      </c>
      <c r="O86" s="84">
        <v>17</v>
      </c>
      <c r="P86" s="84">
        <f>7+4.5+4.5</f>
        <v>16</v>
      </c>
      <c r="Q86" s="84">
        <f t="shared" si="2"/>
        <v>54.5</v>
      </c>
      <c r="R86" s="84"/>
    </row>
    <row r="87" spans="1:18">
      <c r="A87" s="130">
        <v>39</v>
      </c>
      <c r="B87" s="25" t="s">
        <v>603</v>
      </c>
      <c r="C87" s="25"/>
      <c r="D87" s="25" t="s">
        <v>168</v>
      </c>
      <c r="E87" s="25" t="s">
        <v>79</v>
      </c>
      <c r="F87" s="25"/>
      <c r="G87" s="25" t="s">
        <v>25</v>
      </c>
      <c r="H87" s="25" t="s">
        <v>73</v>
      </c>
      <c r="I87" s="25" t="s">
        <v>604</v>
      </c>
      <c r="J87" s="25" t="s">
        <v>140</v>
      </c>
      <c r="K87" s="84"/>
      <c r="L87" s="84"/>
      <c r="M87" s="84"/>
      <c r="N87" s="84"/>
      <c r="O87" s="84"/>
      <c r="P87" s="84"/>
      <c r="Q87" s="84">
        <f t="shared" si="2"/>
        <v>0</v>
      </c>
      <c r="R87" s="84" t="s">
        <v>1276</v>
      </c>
    </row>
    <row r="88" spans="1:18">
      <c r="A88" s="130">
        <v>41</v>
      </c>
      <c r="B88" s="25" t="s">
        <v>607</v>
      </c>
      <c r="C88" s="25"/>
      <c r="D88" s="25" t="s">
        <v>168</v>
      </c>
      <c r="E88" s="25" t="s">
        <v>79</v>
      </c>
      <c r="F88" s="25"/>
      <c r="G88" s="25" t="s">
        <v>25</v>
      </c>
      <c r="H88" s="25" t="s">
        <v>80</v>
      </c>
      <c r="I88" s="25" t="s">
        <v>83</v>
      </c>
      <c r="J88" s="25" t="s">
        <v>141</v>
      </c>
      <c r="K88" s="84"/>
      <c r="L88" s="84"/>
      <c r="M88" s="84"/>
      <c r="N88" s="84"/>
      <c r="O88" s="84"/>
      <c r="P88" s="84"/>
      <c r="Q88" s="84">
        <f t="shared" si="2"/>
        <v>0</v>
      </c>
      <c r="R88" s="84" t="s">
        <v>1276</v>
      </c>
    </row>
    <row r="89" spans="1:18">
      <c r="A89" s="130">
        <v>54</v>
      </c>
      <c r="B89" s="25" t="s">
        <v>630</v>
      </c>
      <c r="C89" s="25"/>
      <c r="D89" s="25" t="s">
        <v>168</v>
      </c>
      <c r="E89" s="25" t="s">
        <v>79</v>
      </c>
      <c r="F89" s="25"/>
      <c r="G89" s="25" t="s">
        <v>25</v>
      </c>
      <c r="H89" s="25" t="s">
        <v>123</v>
      </c>
      <c r="I89" s="25" t="s">
        <v>83</v>
      </c>
      <c r="J89" s="25" t="s">
        <v>141</v>
      </c>
      <c r="K89" s="84"/>
      <c r="L89" s="84"/>
      <c r="M89" s="84"/>
      <c r="N89" s="84"/>
      <c r="O89" s="84"/>
      <c r="P89" s="84"/>
      <c r="Q89" s="84">
        <f t="shared" si="2"/>
        <v>0</v>
      </c>
      <c r="R89" s="84" t="s">
        <v>1276</v>
      </c>
    </row>
    <row r="90" spans="1:18">
      <c r="A90" s="130">
        <v>61</v>
      </c>
      <c r="B90" s="25" t="s">
        <v>644</v>
      </c>
      <c r="C90" s="25"/>
      <c r="D90" s="25" t="s">
        <v>168</v>
      </c>
      <c r="E90" s="25" t="s">
        <v>79</v>
      </c>
      <c r="F90" s="25"/>
      <c r="G90" s="25" t="s">
        <v>25</v>
      </c>
      <c r="H90" s="25" t="s">
        <v>62</v>
      </c>
      <c r="I90" s="25"/>
      <c r="J90" s="25" t="s">
        <v>140</v>
      </c>
      <c r="K90" s="84"/>
      <c r="L90" s="84"/>
      <c r="M90" s="84"/>
      <c r="N90" s="84"/>
      <c r="O90" s="84"/>
      <c r="P90" s="84"/>
      <c r="Q90" s="84">
        <f t="shared" si="2"/>
        <v>0</v>
      </c>
      <c r="R90" s="84" t="s">
        <v>1276</v>
      </c>
    </row>
    <row r="91" spans="1:18">
      <c r="A91" s="3"/>
    </row>
  </sheetData>
  <sortState ref="A2:S90">
    <sortCondition ref="S2:S90"/>
    <sortCondition descending="1" ref="Q2:Q90"/>
  </sortState>
  <conditionalFormatting sqref="B75:B88 B1:B4 B6:B43 B93:B1048576 B90 B45:B72">
    <cfRule type="duplicateValues" dxfId="17" priority="54"/>
  </conditionalFormatting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3"/>
  <sheetViews>
    <sheetView rightToLeft="1" topLeftCell="C64" zoomScaleNormal="100" workbookViewId="0">
      <selection activeCell="P1" sqref="P1:P1048576"/>
    </sheetView>
  </sheetViews>
  <sheetFormatPr defaultColWidth="9.125" defaultRowHeight="21"/>
  <cols>
    <col min="1" max="1" width="5.375" style="3" bestFit="1" customWidth="1"/>
    <col min="2" max="2" width="24.125" style="3" bestFit="1" customWidth="1"/>
    <col min="3" max="3" width="17.125" style="3" bestFit="1" customWidth="1"/>
    <col min="4" max="4" width="7.875" style="3" customWidth="1"/>
    <col min="5" max="5" width="5.25" style="3" bestFit="1" customWidth="1"/>
    <col min="6" max="6" width="7.25" style="3" customWidth="1"/>
    <col min="7" max="7" width="6.25" style="3" bestFit="1" customWidth="1"/>
    <col min="8" max="8" width="5.125" style="3" customWidth="1"/>
    <col min="9" max="9" width="6.75" style="3" customWidth="1"/>
    <col min="10" max="10" width="10" style="3" bestFit="1" customWidth="1"/>
    <col min="11" max="14" width="15.125" style="3" customWidth="1"/>
    <col min="15" max="15" width="52" style="3" bestFit="1" customWidth="1"/>
    <col min="16" max="16384" width="9.125" style="3"/>
  </cols>
  <sheetData>
    <row r="1" spans="1:16" ht="41.25" customHeight="1">
      <c r="A1" s="5" t="s">
        <v>0</v>
      </c>
      <c r="B1" s="5" t="s">
        <v>1</v>
      </c>
      <c r="C1" s="5" t="s">
        <v>50</v>
      </c>
      <c r="D1" s="80" t="s">
        <v>16</v>
      </c>
      <c r="E1" s="80" t="s">
        <v>15</v>
      </c>
      <c r="F1" s="5" t="s">
        <v>51</v>
      </c>
      <c r="G1" s="80" t="s">
        <v>14</v>
      </c>
      <c r="H1" s="5" t="s">
        <v>17</v>
      </c>
      <c r="I1" s="5" t="s">
        <v>3</v>
      </c>
      <c r="J1" s="5" t="s">
        <v>4</v>
      </c>
      <c r="K1" s="80" t="s">
        <v>31</v>
      </c>
      <c r="L1" s="80" t="s">
        <v>21</v>
      </c>
      <c r="M1" s="80" t="s">
        <v>1246</v>
      </c>
      <c r="N1" s="80" t="s">
        <v>22</v>
      </c>
      <c r="O1" s="80" t="s">
        <v>18</v>
      </c>
    </row>
    <row r="2" spans="1:16" ht="20.100000000000001" customHeight="1">
      <c r="A2" s="127">
        <v>3</v>
      </c>
      <c r="B2" s="13" t="s">
        <v>765</v>
      </c>
      <c r="C2" s="13"/>
      <c r="D2" s="13" t="s">
        <v>168</v>
      </c>
      <c r="E2" s="13" t="s">
        <v>79</v>
      </c>
      <c r="F2" s="13"/>
      <c r="G2" s="13" t="s">
        <v>24</v>
      </c>
      <c r="H2" s="13" t="s">
        <v>58</v>
      </c>
      <c r="I2" s="13" t="s">
        <v>81</v>
      </c>
      <c r="J2" s="13" t="s">
        <v>146</v>
      </c>
      <c r="K2" s="81">
        <v>25.5</v>
      </c>
      <c r="L2" s="81">
        <v>37</v>
      </c>
      <c r="M2" s="13">
        <v>22</v>
      </c>
      <c r="N2" s="81">
        <f t="shared" ref="N2:N33" si="0">K2 +L2+M2</f>
        <v>84.5</v>
      </c>
      <c r="O2" s="81"/>
    </row>
    <row r="3" spans="1:16" ht="20.100000000000001" customHeight="1">
      <c r="A3" s="127">
        <v>1</v>
      </c>
      <c r="B3" s="13" t="s">
        <v>715</v>
      </c>
      <c r="C3" s="13"/>
      <c r="D3" s="13" t="s">
        <v>168</v>
      </c>
      <c r="E3" s="13" t="s">
        <v>79</v>
      </c>
      <c r="F3" s="13"/>
      <c r="G3" s="13" t="s">
        <v>24</v>
      </c>
      <c r="H3" s="13" t="s">
        <v>120</v>
      </c>
      <c r="I3" s="13" t="s">
        <v>121</v>
      </c>
      <c r="J3" s="13" t="s">
        <v>146</v>
      </c>
      <c r="K3" s="81">
        <v>23.5</v>
      </c>
      <c r="L3" s="81">
        <v>34</v>
      </c>
      <c r="M3" s="81">
        <v>17</v>
      </c>
      <c r="N3" s="81">
        <f t="shared" si="0"/>
        <v>74.5</v>
      </c>
      <c r="O3" s="81"/>
    </row>
    <row r="4" spans="1:16" ht="20.100000000000001" customHeight="1">
      <c r="A4" s="127">
        <v>2</v>
      </c>
      <c r="B4" s="13" t="s">
        <v>746</v>
      </c>
      <c r="C4" s="13"/>
      <c r="D4" s="13" t="s">
        <v>168</v>
      </c>
      <c r="E4" s="13" t="s">
        <v>79</v>
      </c>
      <c r="F4" s="13"/>
      <c r="G4" s="13" t="s">
        <v>24</v>
      </c>
      <c r="H4" s="13" t="s">
        <v>29</v>
      </c>
      <c r="I4" s="13" t="s">
        <v>101</v>
      </c>
      <c r="J4" s="13" t="s">
        <v>146</v>
      </c>
      <c r="K4" s="81">
        <v>21.5</v>
      </c>
      <c r="L4" s="81">
        <v>38</v>
      </c>
      <c r="M4" s="81">
        <v>12.5</v>
      </c>
      <c r="N4" s="81">
        <f t="shared" si="0"/>
        <v>72</v>
      </c>
      <c r="O4" s="81"/>
    </row>
    <row r="5" spans="1:16" ht="20.100000000000001" customHeight="1">
      <c r="A5" s="127">
        <v>19</v>
      </c>
      <c r="B5" s="23" t="s">
        <v>770</v>
      </c>
      <c r="C5" s="23"/>
      <c r="D5" s="23" t="s">
        <v>168</v>
      </c>
      <c r="E5" s="23" t="s">
        <v>103</v>
      </c>
      <c r="F5" s="23"/>
      <c r="G5" s="23" t="s">
        <v>67</v>
      </c>
      <c r="H5" s="23" t="s">
        <v>105</v>
      </c>
      <c r="I5" s="23" t="s">
        <v>96</v>
      </c>
      <c r="J5" s="23" t="s">
        <v>146</v>
      </c>
      <c r="K5" s="23">
        <v>27.5</v>
      </c>
      <c r="L5" s="23">
        <v>40</v>
      </c>
      <c r="M5" s="23">
        <v>18</v>
      </c>
      <c r="N5" s="128">
        <f t="shared" si="0"/>
        <v>85.5</v>
      </c>
      <c r="O5" s="23"/>
    </row>
    <row r="6" spans="1:16" s="101" customFormat="1" ht="20.100000000000001" customHeight="1">
      <c r="A6" s="127">
        <v>16</v>
      </c>
      <c r="B6" s="23" t="s">
        <v>762</v>
      </c>
      <c r="C6" s="23"/>
      <c r="D6" s="23" t="s">
        <v>168</v>
      </c>
      <c r="E6" s="23" t="s">
        <v>79</v>
      </c>
      <c r="F6" s="23"/>
      <c r="G6" s="23" t="s">
        <v>26</v>
      </c>
      <c r="H6" s="23" t="s">
        <v>159</v>
      </c>
      <c r="I6" s="23" t="s">
        <v>101</v>
      </c>
      <c r="J6" s="23" t="s">
        <v>146</v>
      </c>
      <c r="K6" s="128">
        <v>21</v>
      </c>
      <c r="L6" s="128">
        <v>38</v>
      </c>
      <c r="M6" s="128">
        <v>23</v>
      </c>
      <c r="N6" s="128">
        <f t="shared" si="0"/>
        <v>82</v>
      </c>
      <c r="O6" s="128"/>
      <c r="P6" s="3"/>
    </row>
    <row r="7" spans="1:16" ht="20.100000000000001" customHeight="1">
      <c r="A7" s="127">
        <v>12</v>
      </c>
      <c r="B7" s="23" t="s">
        <v>753</v>
      </c>
      <c r="C7" s="23"/>
      <c r="D7" s="23" t="s">
        <v>168</v>
      </c>
      <c r="E7" s="23" t="s">
        <v>79</v>
      </c>
      <c r="F7" s="23"/>
      <c r="G7" s="23" t="s">
        <v>26</v>
      </c>
      <c r="H7" s="23" t="s">
        <v>100</v>
      </c>
      <c r="I7" s="23" t="s">
        <v>83</v>
      </c>
      <c r="J7" s="23" t="s">
        <v>146</v>
      </c>
      <c r="K7" s="128">
        <v>22</v>
      </c>
      <c r="L7" s="128">
        <v>38</v>
      </c>
      <c r="M7" s="128">
        <v>16</v>
      </c>
      <c r="N7" s="128">
        <f t="shared" si="0"/>
        <v>76</v>
      </c>
      <c r="O7" s="128"/>
    </row>
    <row r="8" spans="1:16" ht="20.100000000000001" customHeight="1">
      <c r="A8" s="127">
        <v>9</v>
      </c>
      <c r="B8" s="23" t="s">
        <v>732</v>
      </c>
      <c r="C8" s="23"/>
      <c r="D8" s="23" t="s">
        <v>168</v>
      </c>
      <c r="E8" s="23" t="s">
        <v>79</v>
      </c>
      <c r="F8" s="23"/>
      <c r="G8" s="23" t="s">
        <v>26</v>
      </c>
      <c r="H8" s="23" t="s">
        <v>130</v>
      </c>
      <c r="I8" s="23" t="s">
        <v>81</v>
      </c>
      <c r="J8" s="23" t="s">
        <v>147</v>
      </c>
      <c r="K8" s="128">
        <v>23</v>
      </c>
      <c r="L8" s="128">
        <v>36</v>
      </c>
      <c r="M8" s="128">
        <v>15</v>
      </c>
      <c r="N8" s="128">
        <f t="shared" si="0"/>
        <v>74</v>
      </c>
      <c r="O8" s="128"/>
    </row>
    <row r="9" spans="1:16" ht="20.100000000000001" customHeight="1">
      <c r="A9" s="127">
        <v>18</v>
      </c>
      <c r="B9" s="23" t="s">
        <v>768</v>
      </c>
      <c r="C9" s="23"/>
      <c r="D9" s="23" t="s">
        <v>168</v>
      </c>
      <c r="E9" s="23" t="s">
        <v>79</v>
      </c>
      <c r="F9" s="23"/>
      <c r="G9" s="23" t="s">
        <v>26</v>
      </c>
      <c r="H9" s="23" t="s">
        <v>139</v>
      </c>
      <c r="I9" s="23" t="s">
        <v>769</v>
      </c>
      <c r="J9" s="23" t="s">
        <v>146</v>
      </c>
      <c r="K9" s="23">
        <v>24.5</v>
      </c>
      <c r="L9" s="23">
        <v>36</v>
      </c>
      <c r="M9" s="23">
        <v>11.5</v>
      </c>
      <c r="N9" s="128">
        <f t="shared" si="0"/>
        <v>72</v>
      </c>
      <c r="O9" s="23"/>
    </row>
    <row r="10" spans="1:16" ht="20.100000000000001" customHeight="1">
      <c r="A10" s="127">
        <v>7</v>
      </c>
      <c r="B10" s="23" t="s">
        <v>727</v>
      </c>
      <c r="C10" s="23"/>
      <c r="D10" s="23" t="s">
        <v>168</v>
      </c>
      <c r="E10" s="23" t="s">
        <v>79</v>
      </c>
      <c r="F10" s="23"/>
      <c r="G10" s="23" t="s">
        <v>26</v>
      </c>
      <c r="H10" s="23" t="s">
        <v>64</v>
      </c>
      <c r="I10" s="23" t="s">
        <v>83</v>
      </c>
      <c r="J10" s="23" t="s">
        <v>146</v>
      </c>
      <c r="K10" s="128">
        <v>22.5</v>
      </c>
      <c r="L10" s="128">
        <v>34</v>
      </c>
      <c r="M10" s="128">
        <v>14</v>
      </c>
      <c r="N10" s="128">
        <f t="shared" si="0"/>
        <v>70.5</v>
      </c>
      <c r="O10" s="128"/>
    </row>
    <row r="11" spans="1:16" ht="20.100000000000001" customHeight="1">
      <c r="A11" s="127">
        <v>11</v>
      </c>
      <c r="B11" s="23" t="s">
        <v>748</v>
      </c>
      <c r="C11" s="23"/>
      <c r="D11" s="23" t="s">
        <v>168</v>
      </c>
      <c r="E11" s="23" t="s">
        <v>79</v>
      </c>
      <c r="F11" s="23"/>
      <c r="G11" s="23" t="s">
        <v>26</v>
      </c>
      <c r="H11" s="23" t="s">
        <v>29</v>
      </c>
      <c r="I11" s="23" t="s">
        <v>88</v>
      </c>
      <c r="J11" s="23" t="s">
        <v>146</v>
      </c>
      <c r="K11" s="128">
        <v>21.5</v>
      </c>
      <c r="L11" s="128">
        <v>36</v>
      </c>
      <c r="M11" s="128">
        <v>13</v>
      </c>
      <c r="N11" s="128">
        <f t="shared" si="0"/>
        <v>70.5</v>
      </c>
      <c r="O11" s="128"/>
    </row>
    <row r="12" spans="1:16" ht="20.100000000000001" customHeight="1">
      <c r="A12" s="127">
        <v>13</v>
      </c>
      <c r="B12" s="23" t="s">
        <v>754</v>
      </c>
      <c r="C12" s="23"/>
      <c r="D12" s="23" t="s">
        <v>168</v>
      </c>
      <c r="E12" s="23" t="s">
        <v>79</v>
      </c>
      <c r="F12" s="23"/>
      <c r="G12" s="23" t="s">
        <v>26</v>
      </c>
      <c r="H12" s="23" t="s">
        <v>100</v>
      </c>
      <c r="I12" s="23" t="s">
        <v>101</v>
      </c>
      <c r="J12" s="23" t="s">
        <v>146</v>
      </c>
      <c r="K12" s="128">
        <v>19.5</v>
      </c>
      <c r="L12" s="128">
        <v>38</v>
      </c>
      <c r="M12" s="128">
        <v>13</v>
      </c>
      <c r="N12" s="128">
        <f t="shared" si="0"/>
        <v>70.5</v>
      </c>
      <c r="O12" s="128"/>
    </row>
    <row r="13" spans="1:16" ht="20.100000000000001" customHeight="1">
      <c r="A13" s="127">
        <v>14</v>
      </c>
      <c r="B13" s="23" t="s">
        <v>758</v>
      </c>
      <c r="C13" s="23"/>
      <c r="D13" s="23" t="s">
        <v>168</v>
      </c>
      <c r="E13" s="23" t="s">
        <v>79</v>
      </c>
      <c r="F13" s="23"/>
      <c r="G13" s="23" t="s">
        <v>26</v>
      </c>
      <c r="H13" s="23" t="s">
        <v>137</v>
      </c>
      <c r="I13" s="23" t="s">
        <v>83</v>
      </c>
      <c r="J13" s="23" t="s">
        <v>146</v>
      </c>
      <c r="K13" s="128">
        <v>22.5</v>
      </c>
      <c r="L13" s="128">
        <v>33</v>
      </c>
      <c r="M13" s="128">
        <v>13</v>
      </c>
      <c r="N13" s="128">
        <f t="shared" si="0"/>
        <v>68.5</v>
      </c>
      <c r="O13" s="128"/>
    </row>
    <row r="14" spans="1:16" ht="20.100000000000001" customHeight="1">
      <c r="A14" s="127">
        <v>17</v>
      </c>
      <c r="B14" s="23" t="s">
        <v>767</v>
      </c>
      <c r="C14" s="23"/>
      <c r="D14" s="23" t="s">
        <v>168</v>
      </c>
      <c r="E14" s="23" t="s">
        <v>79</v>
      </c>
      <c r="F14" s="23"/>
      <c r="G14" s="23" t="s">
        <v>26</v>
      </c>
      <c r="H14" s="23" t="s">
        <v>40</v>
      </c>
      <c r="I14" s="23" t="s">
        <v>83</v>
      </c>
      <c r="J14" s="23" t="s">
        <v>146</v>
      </c>
      <c r="K14" s="23">
        <v>25</v>
      </c>
      <c r="L14" s="23">
        <v>30</v>
      </c>
      <c r="M14" s="23">
        <v>13</v>
      </c>
      <c r="N14" s="128">
        <f t="shared" si="0"/>
        <v>68</v>
      </c>
      <c r="O14" s="23"/>
    </row>
    <row r="15" spans="1:16" ht="20.100000000000001" customHeight="1">
      <c r="A15" s="127">
        <v>8</v>
      </c>
      <c r="B15" s="23" t="s">
        <v>730</v>
      </c>
      <c r="C15" s="23"/>
      <c r="D15" s="23" t="s">
        <v>168</v>
      </c>
      <c r="E15" s="23" t="s">
        <v>79</v>
      </c>
      <c r="F15" s="23"/>
      <c r="G15" s="23" t="s">
        <v>26</v>
      </c>
      <c r="H15" s="23" t="s">
        <v>53</v>
      </c>
      <c r="I15" s="23" t="s">
        <v>83</v>
      </c>
      <c r="J15" s="23" t="s">
        <v>146</v>
      </c>
      <c r="K15" s="128">
        <v>21.5</v>
      </c>
      <c r="L15" s="128">
        <v>27</v>
      </c>
      <c r="M15" s="128">
        <v>19</v>
      </c>
      <c r="N15" s="128">
        <f t="shared" si="0"/>
        <v>67.5</v>
      </c>
      <c r="O15" s="128"/>
    </row>
    <row r="16" spans="1:16" ht="20.100000000000001" customHeight="1">
      <c r="A16" s="127">
        <v>20</v>
      </c>
      <c r="B16" s="23" t="s">
        <v>739</v>
      </c>
      <c r="C16" s="23"/>
      <c r="D16" s="23" t="s">
        <v>168</v>
      </c>
      <c r="E16" s="23" t="s">
        <v>79</v>
      </c>
      <c r="F16" s="23"/>
      <c r="G16" s="23" t="s">
        <v>92</v>
      </c>
      <c r="H16" s="23" t="s">
        <v>52</v>
      </c>
      <c r="I16" s="23" t="s">
        <v>96</v>
      </c>
      <c r="J16" s="23" t="s">
        <v>147</v>
      </c>
      <c r="K16" s="128">
        <v>21</v>
      </c>
      <c r="L16" s="128">
        <v>32</v>
      </c>
      <c r="M16" s="128">
        <v>14</v>
      </c>
      <c r="N16" s="128">
        <f t="shared" si="0"/>
        <v>67</v>
      </c>
      <c r="O16" s="128"/>
    </row>
    <row r="17" spans="1:16" ht="20.100000000000001" customHeight="1">
      <c r="A17" s="127">
        <v>4</v>
      </c>
      <c r="B17" s="23" t="s">
        <v>698</v>
      </c>
      <c r="C17" s="23"/>
      <c r="D17" s="23" t="s">
        <v>168</v>
      </c>
      <c r="E17" s="23" t="s">
        <v>79</v>
      </c>
      <c r="F17" s="23"/>
      <c r="G17" s="23" t="s">
        <v>26</v>
      </c>
      <c r="H17" s="23" t="s">
        <v>80</v>
      </c>
      <c r="I17" s="23" t="s">
        <v>86</v>
      </c>
      <c r="J17" s="23" t="s">
        <v>146</v>
      </c>
      <c r="K17" s="128">
        <v>23.5</v>
      </c>
      <c r="L17" s="128">
        <v>33</v>
      </c>
      <c r="M17" s="128">
        <v>10</v>
      </c>
      <c r="N17" s="128">
        <f t="shared" si="0"/>
        <v>66.5</v>
      </c>
      <c r="O17" s="128"/>
    </row>
    <row r="18" spans="1:16" ht="20.100000000000001" customHeight="1">
      <c r="A18" s="127">
        <v>5</v>
      </c>
      <c r="B18" s="23" t="s">
        <v>699</v>
      </c>
      <c r="C18" s="23"/>
      <c r="D18" s="23" t="s">
        <v>168</v>
      </c>
      <c r="E18" s="23" t="s">
        <v>79</v>
      </c>
      <c r="F18" s="23"/>
      <c r="G18" s="23" t="s">
        <v>26</v>
      </c>
      <c r="H18" s="23" t="s">
        <v>80</v>
      </c>
      <c r="I18" s="23" t="s">
        <v>81</v>
      </c>
      <c r="J18" s="23" t="s">
        <v>146</v>
      </c>
      <c r="K18" s="128">
        <v>22</v>
      </c>
      <c r="L18" s="128">
        <v>30</v>
      </c>
      <c r="M18" s="128">
        <v>11</v>
      </c>
      <c r="N18" s="128">
        <f t="shared" si="0"/>
        <v>63</v>
      </c>
      <c r="O18" s="128"/>
    </row>
    <row r="19" spans="1:16" ht="20.100000000000001" customHeight="1">
      <c r="A19" s="127">
        <v>15</v>
      </c>
      <c r="B19" s="23" t="s">
        <v>759</v>
      </c>
      <c r="C19" s="23"/>
      <c r="D19" s="23" t="s">
        <v>168</v>
      </c>
      <c r="E19" s="23" t="s">
        <v>79</v>
      </c>
      <c r="F19" s="23"/>
      <c r="G19" s="23" t="s">
        <v>26</v>
      </c>
      <c r="H19" s="23" t="s">
        <v>137</v>
      </c>
      <c r="I19" s="23" t="s">
        <v>83</v>
      </c>
      <c r="J19" s="23" t="s">
        <v>146</v>
      </c>
      <c r="K19" s="128">
        <v>22.5</v>
      </c>
      <c r="L19" s="128">
        <v>22</v>
      </c>
      <c r="M19" s="128">
        <v>17</v>
      </c>
      <c r="N19" s="128">
        <f t="shared" si="0"/>
        <v>61.5</v>
      </c>
      <c r="O19" s="128"/>
    </row>
    <row r="20" spans="1:16" ht="20.100000000000001" customHeight="1">
      <c r="A20" s="127">
        <v>6</v>
      </c>
      <c r="B20" s="23" t="s">
        <v>725</v>
      </c>
      <c r="C20" s="23"/>
      <c r="D20" s="23" t="s">
        <v>168</v>
      </c>
      <c r="E20" s="23" t="s">
        <v>79</v>
      </c>
      <c r="F20" s="23"/>
      <c r="G20" s="23" t="s">
        <v>26</v>
      </c>
      <c r="H20" s="23" t="s">
        <v>65</v>
      </c>
      <c r="I20" s="23" t="s">
        <v>81</v>
      </c>
      <c r="J20" s="23" t="s">
        <v>146</v>
      </c>
      <c r="K20" s="128">
        <v>19.5</v>
      </c>
      <c r="L20" s="128">
        <v>18</v>
      </c>
      <c r="M20" s="128">
        <v>11.5</v>
      </c>
      <c r="N20" s="128">
        <f t="shared" si="0"/>
        <v>49</v>
      </c>
      <c r="O20" s="128"/>
    </row>
    <row r="21" spans="1:16" s="101" customFormat="1" ht="20.100000000000001" customHeight="1">
      <c r="A21" s="127">
        <v>10</v>
      </c>
      <c r="B21" s="23" t="s">
        <v>735</v>
      </c>
      <c r="C21" s="23"/>
      <c r="D21" s="23" t="s">
        <v>168</v>
      </c>
      <c r="E21" s="23" t="s">
        <v>79</v>
      </c>
      <c r="F21" s="23"/>
      <c r="G21" s="23" t="s">
        <v>26</v>
      </c>
      <c r="H21" s="23" t="s">
        <v>62</v>
      </c>
      <c r="I21" s="23" t="s">
        <v>131</v>
      </c>
      <c r="J21" s="23" t="s">
        <v>146</v>
      </c>
      <c r="K21" s="128"/>
      <c r="L21" s="128"/>
      <c r="M21" s="128"/>
      <c r="N21" s="128">
        <f t="shared" si="0"/>
        <v>0</v>
      </c>
      <c r="O21" s="128" t="s">
        <v>1276</v>
      </c>
      <c r="P21" s="3"/>
    </row>
    <row r="22" spans="1:16" ht="20.100000000000001" customHeight="1">
      <c r="A22" s="127">
        <v>51</v>
      </c>
      <c r="B22" s="124" t="s">
        <v>729</v>
      </c>
      <c r="C22" s="124"/>
      <c r="D22" s="124" t="s">
        <v>168</v>
      </c>
      <c r="E22" s="124" t="s">
        <v>79</v>
      </c>
      <c r="F22" s="124"/>
      <c r="G22" s="124" t="s">
        <v>25</v>
      </c>
      <c r="H22" s="124" t="s">
        <v>53</v>
      </c>
      <c r="I22" s="124" t="s">
        <v>83</v>
      </c>
      <c r="J22" s="124" t="s">
        <v>146</v>
      </c>
      <c r="K22" s="129">
        <v>25.5</v>
      </c>
      <c r="L22" s="129">
        <v>39</v>
      </c>
      <c r="M22" s="129">
        <v>27</v>
      </c>
      <c r="N22" s="129">
        <f t="shared" si="0"/>
        <v>91.5</v>
      </c>
      <c r="O22" s="129"/>
      <c r="P22" s="101"/>
    </row>
    <row r="23" spans="1:16" ht="20.100000000000001" customHeight="1">
      <c r="A23" s="127">
        <v>50</v>
      </c>
      <c r="B23" s="124" t="s">
        <v>728</v>
      </c>
      <c r="C23" s="124"/>
      <c r="D23" s="124" t="s">
        <v>168</v>
      </c>
      <c r="E23" s="124" t="s">
        <v>79</v>
      </c>
      <c r="F23" s="124"/>
      <c r="G23" s="124" t="s">
        <v>25</v>
      </c>
      <c r="H23" s="124" t="s">
        <v>53</v>
      </c>
      <c r="I23" s="124" t="s">
        <v>83</v>
      </c>
      <c r="J23" s="124" t="s">
        <v>146</v>
      </c>
      <c r="K23" s="129">
        <v>24</v>
      </c>
      <c r="L23" s="129">
        <v>37</v>
      </c>
      <c r="M23" s="129">
        <v>22</v>
      </c>
      <c r="N23" s="129">
        <f t="shared" si="0"/>
        <v>83</v>
      </c>
      <c r="O23" s="129"/>
      <c r="P23" s="101"/>
    </row>
    <row r="24" spans="1:16" ht="20.100000000000001" customHeight="1">
      <c r="A24" s="127">
        <v>70</v>
      </c>
      <c r="B24" s="124" t="s">
        <v>766</v>
      </c>
      <c r="C24" s="124"/>
      <c r="D24" s="124" t="s">
        <v>168</v>
      </c>
      <c r="E24" s="124" t="s">
        <v>79</v>
      </c>
      <c r="F24" s="124"/>
      <c r="G24" s="124" t="s">
        <v>25</v>
      </c>
      <c r="H24" s="124" t="s">
        <v>40</v>
      </c>
      <c r="I24" s="124" t="s">
        <v>83</v>
      </c>
      <c r="J24" s="124" t="s">
        <v>146</v>
      </c>
      <c r="K24" s="124">
        <v>25</v>
      </c>
      <c r="L24" s="124">
        <v>38</v>
      </c>
      <c r="M24" s="124">
        <v>19</v>
      </c>
      <c r="N24" s="129">
        <f t="shared" si="0"/>
        <v>82</v>
      </c>
      <c r="O24" s="124"/>
      <c r="P24" s="101"/>
    </row>
    <row r="25" spans="1:16" ht="20.100000000000001" customHeight="1">
      <c r="A25" s="127">
        <v>32</v>
      </c>
      <c r="B25" s="124" t="s">
        <v>706</v>
      </c>
      <c r="C25" s="124"/>
      <c r="D25" s="124" t="s">
        <v>168</v>
      </c>
      <c r="E25" s="124" t="s">
        <v>76</v>
      </c>
      <c r="F25" s="124"/>
      <c r="G25" s="124" t="s">
        <v>25</v>
      </c>
      <c r="H25" s="124" t="s">
        <v>114</v>
      </c>
      <c r="I25" s="124"/>
      <c r="J25" s="124" t="s">
        <v>146</v>
      </c>
      <c r="K25" s="129">
        <v>27</v>
      </c>
      <c r="L25" s="129">
        <v>40</v>
      </c>
      <c r="M25" s="129">
        <v>13</v>
      </c>
      <c r="N25" s="129">
        <f t="shared" si="0"/>
        <v>80</v>
      </c>
      <c r="O25" s="129"/>
      <c r="P25" s="101"/>
    </row>
    <row r="26" spans="1:16" ht="20.100000000000001" customHeight="1">
      <c r="A26" s="127">
        <v>64</v>
      </c>
      <c r="B26" s="124" t="s">
        <v>755</v>
      </c>
      <c r="C26" s="124"/>
      <c r="D26" s="124" t="s">
        <v>168</v>
      </c>
      <c r="E26" s="124" t="s">
        <v>79</v>
      </c>
      <c r="F26" s="124"/>
      <c r="G26" s="124" t="s">
        <v>25</v>
      </c>
      <c r="H26" s="124" t="s">
        <v>100</v>
      </c>
      <c r="I26" s="124" t="s">
        <v>756</v>
      </c>
      <c r="J26" s="124" t="s">
        <v>146</v>
      </c>
      <c r="K26" s="129">
        <v>23.5</v>
      </c>
      <c r="L26" s="129">
        <v>38</v>
      </c>
      <c r="M26" s="129">
        <v>18</v>
      </c>
      <c r="N26" s="129">
        <f t="shared" si="0"/>
        <v>79.5</v>
      </c>
      <c r="O26" s="129"/>
      <c r="P26" s="101"/>
    </row>
    <row r="27" spans="1:16" ht="20.100000000000001" customHeight="1">
      <c r="A27" s="127">
        <v>34</v>
      </c>
      <c r="B27" s="124" t="s">
        <v>538</v>
      </c>
      <c r="C27" s="124"/>
      <c r="D27" s="124" t="s">
        <v>168</v>
      </c>
      <c r="E27" s="124" t="s">
        <v>79</v>
      </c>
      <c r="F27" s="124"/>
      <c r="G27" s="124" t="s">
        <v>25</v>
      </c>
      <c r="H27" s="124" t="s">
        <v>87</v>
      </c>
      <c r="I27" s="124" t="s">
        <v>86</v>
      </c>
      <c r="J27" s="124" t="s">
        <v>146</v>
      </c>
      <c r="K27" s="129">
        <v>24</v>
      </c>
      <c r="L27" s="129">
        <v>36</v>
      </c>
      <c r="M27" s="129">
        <v>17</v>
      </c>
      <c r="N27" s="129">
        <f t="shared" si="0"/>
        <v>77</v>
      </c>
      <c r="O27" s="129"/>
      <c r="P27" s="101"/>
    </row>
    <row r="28" spans="1:16" ht="20.100000000000001" customHeight="1">
      <c r="A28" s="127">
        <v>77</v>
      </c>
      <c r="B28" s="124" t="s">
        <v>740</v>
      </c>
      <c r="C28" s="124"/>
      <c r="D28" s="124" t="s">
        <v>168</v>
      </c>
      <c r="E28" s="124" t="s">
        <v>79</v>
      </c>
      <c r="F28" s="124"/>
      <c r="G28" s="124" t="s">
        <v>95</v>
      </c>
      <c r="H28" s="124" t="s">
        <v>52</v>
      </c>
      <c r="I28" s="124" t="s">
        <v>247</v>
      </c>
      <c r="J28" s="124" t="s">
        <v>147</v>
      </c>
      <c r="K28" s="129">
        <v>21</v>
      </c>
      <c r="L28" s="129">
        <v>40</v>
      </c>
      <c r="M28" s="129">
        <v>16</v>
      </c>
      <c r="N28" s="129">
        <f t="shared" si="0"/>
        <v>77</v>
      </c>
      <c r="O28" s="129"/>
      <c r="P28" s="101"/>
    </row>
    <row r="29" spans="1:16" ht="20.100000000000001" customHeight="1">
      <c r="A29" s="127">
        <v>36</v>
      </c>
      <c r="B29" s="124" t="s">
        <v>710</v>
      </c>
      <c r="C29" s="124"/>
      <c r="D29" s="124" t="s">
        <v>168</v>
      </c>
      <c r="E29" s="124" t="s">
        <v>79</v>
      </c>
      <c r="F29" s="124"/>
      <c r="G29" s="124" t="s">
        <v>25</v>
      </c>
      <c r="H29" s="124" t="s">
        <v>78</v>
      </c>
      <c r="I29" s="124" t="s">
        <v>83</v>
      </c>
      <c r="J29" s="124" t="s">
        <v>146</v>
      </c>
      <c r="K29" s="129">
        <v>20.5</v>
      </c>
      <c r="L29" s="129">
        <v>39</v>
      </c>
      <c r="M29" s="124">
        <v>17</v>
      </c>
      <c r="N29" s="129">
        <f t="shared" si="0"/>
        <v>76.5</v>
      </c>
      <c r="O29" s="129"/>
      <c r="P29" s="101"/>
    </row>
    <row r="30" spans="1:16" ht="20.100000000000001" customHeight="1">
      <c r="A30" s="127">
        <v>80</v>
      </c>
      <c r="B30" s="124" t="s">
        <v>1230</v>
      </c>
      <c r="C30" s="125"/>
      <c r="D30" s="124" t="s">
        <v>168</v>
      </c>
      <c r="E30" s="124" t="s">
        <v>79</v>
      </c>
      <c r="F30" s="125"/>
      <c r="G30" s="124" t="s">
        <v>95</v>
      </c>
      <c r="H30" s="124" t="s">
        <v>1222</v>
      </c>
      <c r="I30" s="124" t="s">
        <v>96</v>
      </c>
      <c r="J30" s="124" t="s">
        <v>146</v>
      </c>
      <c r="K30" s="124">
        <v>23</v>
      </c>
      <c r="L30" s="124">
        <v>36</v>
      </c>
      <c r="M30" s="124">
        <v>17</v>
      </c>
      <c r="N30" s="129">
        <f t="shared" si="0"/>
        <v>76</v>
      </c>
      <c r="O30" s="124"/>
      <c r="P30" s="101"/>
    </row>
    <row r="31" spans="1:16" s="101" customFormat="1" ht="20.100000000000001" customHeight="1">
      <c r="A31" s="127">
        <v>30</v>
      </c>
      <c r="B31" s="124" t="s">
        <v>704</v>
      </c>
      <c r="C31" s="124"/>
      <c r="D31" s="124" t="s">
        <v>168</v>
      </c>
      <c r="E31" s="124" t="s">
        <v>79</v>
      </c>
      <c r="F31" s="124"/>
      <c r="G31" s="124" t="s">
        <v>25</v>
      </c>
      <c r="H31" s="124" t="s">
        <v>113</v>
      </c>
      <c r="I31" s="124" t="s">
        <v>83</v>
      </c>
      <c r="J31" s="124" t="s">
        <v>146</v>
      </c>
      <c r="K31" s="129">
        <v>23.5</v>
      </c>
      <c r="L31" s="129">
        <v>40</v>
      </c>
      <c r="M31" s="129">
        <v>12</v>
      </c>
      <c r="N31" s="129">
        <f t="shared" si="0"/>
        <v>75.5</v>
      </c>
      <c r="O31" s="129"/>
    </row>
    <row r="32" spans="1:16" ht="20.100000000000001" customHeight="1">
      <c r="A32" s="127">
        <v>21</v>
      </c>
      <c r="B32" s="124" t="s">
        <v>743</v>
      </c>
      <c r="C32" s="124"/>
      <c r="D32" s="124" t="s">
        <v>168</v>
      </c>
      <c r="E32" s="124" t="s">
        <v>79</v>
      </c>
      <c r="F32" s="124"/>
      <c r="G32" s="124" t="s">
        <v>259</v>
      </c>
      <c r="H32" s="124" t="s">
        <v>59</v>
      </c>
      <c r="I32" s="124" t="s">
        <v>83</v>
      </c>
      <c r="J32" s="124" t="s">
        <v>146</v>
      </c>
      <c r="K32" s="129">
        <v>26.5</v>
      </c>
      <c r="L32" s="129">
        <v>37</v>
      </c>
      <c r="M32" s="129">
        <v>11.5</v>
      </c>
      <c r="N32" s="129">
        <f t="shared" si="0"/>
        <v>75</v>
      </c>
      <c r="O32" s="129"/>
      <c r="P32" s="101"/>
    </row>
    <row r="33" spans="1:16" ht="20.100000000000001" customHeight="1">
      <c r="A33" s="127">
        <v>47</v>
      </c>
      <c r="B33" s="124" t="s">
        <v>723</v>
      </c>
      <c r="C33" s="124"/>
      <c r="D33" s="124" t="s">
        <v>168</v>
      </c>
      <c r="E33" s="124" t="s">
        <v>79</v>
      </c>
      <c r="F33" s="124"/>
      <c r="G33" s="124" t="s">
        <v>25</v>
      </c>
      <c r="H33" s="124" t="s">
        <v>65</v>
      </c>
      <c r="I33" s="124" t="s">
        <v>83</v>
      </c>
      <c r="J33" s="124" t="s">
        <v>146</v>
      </c>
      <c r="K33" s="129">
        <v>23</v>
      </c>
      <c r="L33" s="129">
        <v>35</v>
      </c>
      <c r="M33" s="129">
        <v>17</v>
      </c>
      <c r="N33" s="129">
        <f t="shared" si="0"/>
        <v>75</v>
      </c>
      <c r="O33" s="129"/>
      <c r="P33" s="101"/>
    </row>
    <row r="34" spans="1:16" ht="20.100000000000001" customHeight="1">
      <c r="A34" s="127">
        <v>25</v>
      </c>
      <c r="B34" s="124" t="s">
        <v>696</v>
      </c>
      <c r="C34" s="124"/>
      <c r="D34" s="124" t="s">
        <v>168</v>
      </c>
      <c r="E34" s="124" t="s">
        <v>79</v>
      </c>
      <c r="F34" s="124"/>
      <c r="G34" s="124" t="s">
        <v>25</v>
      </c>
      <c r="H34" s="124" t="s">
        <v>80</v>
      </c>
      <c r="I34" s="124" t="s">
        <v>86</v>
      </c>
      <c r="J34" s="124" t="s">
        <v>146</v>
      </c>
      <c r="K34" s="129">
        <v>26</v>
      </c>
      <c r="L34" s="129">
        <v>35</v>
      </c>
      <c r="M34" s="129">
        <v>13.5</v>
      </c>
      <c r="N34" s="129">
        <f t="shared" ref="N34:N65" si="1">K34 +L34+M34</f>
        <v>74.5</v>
      </c>
      <c r="O34" s="129"/>
      <c r="P34" s="101"/>
    </row>
    <row r="35" spans="1:16" ht="20.100000000000001" customHeight="1">
      <c r="A35" s="127">
        <v>38</v>
      </c>
      <c r="B35" s="124" t="s">
        <v>712</v>
      </c>
      <c r="C35" s="124"/>
      <c r="D35" s="124" t="s">
        <v>168</v>
      </c>
      <c r="E35" s="124" t="s">
        <v>79</v>
      </c>
      <c r="F35" s="124"/>
      <c r="G35" s="124" t="s">
        <v>25</v>
      </c>
      <c r="H35" s="124" t="s">
        <v>196</v>
      </c>
      <c r="I35" s="124" t="s">
        <v>83</v>
      </c>
      <c r="J35" s="124" t="s">
        <v>146</v>
      </c>
      <c r="K35" s="129">
        <v>24</v>
      </c>
      <c r="L35" s="129">
        <v>38</v>
      </c>
      <c r="M35" s="124">
        <v>12</v>
      </c>
      <c r="N35" s="129">
        <f t="shared" si="1"/>
        <v>74</v>
      </c>
      <c r="O35" s="129"/>
      <c r="P35" s="101"/>
    </row>
    <row r="36" spans="1:16" ht="20.100000000000001" customHeight="1">
      <c r="A36" s="127">
        <v>52</v>
      </c>
      <c r="B36" s="124" t="s">
        <v>731</v>
      </c>
      <c r="C36" s="124"/>
      <c r="D36" s="124" t="s">
        <v>168</v>
      </c>
      <c r="E36" s="124" t="s">
        <v>79</v>
      </c>
      <c r="F36" s="124"/>
      <c r="G36" s="124" t="s">
        <v>25</v>
      </c>
      <c r="H36" s="124" t="s">
        <v>130</v>
      </c>
      <c r="I36" s="124" t="s">
        <v>83</v>
      </c>
      <c r="J36" s="124" t="s">
        <v>147</v>
      </c>
      <c r="K36" s="129">
        <v>22.5</v>
      </c>
      <c r="L36" s="129">
        <v>38</v>
      </c>
      <c r="M36" s="129">
        <v>13.5</v>
      </c>
      <c r="N36" s="129">
        <f t="shared" si="1"/>
        <v>74</v>
      </c>
      <c r="O36" s="129"/>
      <c r="P36" s="101"/>
    </row>
    <row r="37" spans="1:16" ht="20.100000000000001" customHeight="1">
      <c r="A37" s="127">
        <v>61</v>
      </c>
      <c r="B37" s="124" t="s">
        <v>750</v>
      </c>
      <c r="C37" s="124"/>
      <c r="D37" s="124" t="s">
        <v>168</v>
      </c>
      <c r="E37" s="124" t="s">
        <v>79</v>
      </c>
      <c r="F37" s="124"/>
      <c r="G37" s="124" t="s">
        <v>25</v>
      </c>
      <c r="H37" s="124" t="s">
        <v>55</v>
      </c>
      <c r="I37" s="124" t="s">
        <v>83</v>
      </c>
      <c r="J37" s="124" t="s">
        <v>146</v>
      </c>
      <c r="K37" s="129">
        <v>22</v>
      </c>
      <c r="L37" s="129">
        <v>38</v>
      </c>
      <c r="M37" s="129">
        <v>14</v>
      </c>
      <c r="N37" s="129">
        <f t="shared" si="1"/>
        <v>74</v>
      </c>
      <c r="O37" s="129"/>
      <c r="P37" s="101"/>
    </row>
    <row r="38" spans="1:16" ht="20.100000000000001" customHeight="1">
      <c r="A38" s="127">
        <v>57</v>
      </c>
      <c r="B38" s="124" t="s">
        <v>738</v>
      </c>
      <c r="C38" s="124"/>
      <c r="D38" s="124" t="s">
        <v>168</v>
      </c>
      <c r="E38" s="124" t="s">
        <v>79</v>
      </c>
      <c r="F38" s="124"/>
      <c r="G38" s="124" t="s">
        <v>25</v>
      </c>
      <c r="H38" s="124" t="s">
        <v>61</v>
      </c>
      <c r="I38" s="124" t="s">
        <v>86</v>
      </c>
      <c r="J38" s="124" t="s">
        <v>146</v>
      </c>
      <c r="K38" s="129">
        <v>23</v>
      </c>
      <c r="L38" s="129">
        <v>37</v>
      </c>
      <c r="M38" s="129">
        <v>13.5</v>
      </c>
      <c r="N38" s="129">
        <f t="shared" si="1"/>
        <v>73.5</v>
      </c>
      <c r="O38" s="129"/>
      <c r="P38" s="101"/>
    </row>
    <row r="39" spans="1:16" ht="20.100000000000001" customHeight="1">
      <c r="A39" s="127">
        <v>66</v>
      </c>
      <c r="B39" s="124" t="s">
        <v>760</v>
      </c>
      <c r="C39" s="124"/>
      <c r="D39" s="124" t="s">
        <v>168</v>
      </c>
      <c r="E39" s="124" t="s">
        <v>79</v>
      </c>
      <c r="F39" s="124"/>
      <c r="G39" s="124" t="s">
        <v>25</v>
      </c>
      <c r="H39" s="124" t="s">
        <v>137</v>
      </c>
      <c r="I39" s="124" t="s">
        <v>83</v>
      </c>
      <c r="J39" s="124" t="s">
        <v>146</v>
      </c>
      <c r="K39" s="129">
        <v>24</v>
      </c>
      <c r="L39" s="129">
        <v>38</v>
      </c>
      <c r="M39" s="129">
        <v>11.5</v>
      </c>
      <c r="N39" s="129">
        <f t="shared" si="1"/>
        <v>73.5</v>
      </c>
      <c r="O39" s="129"/>
      <c r="P39" s="101"/>
    </row>
    <row r="40" spans="1:16" ht="20.100000000000001" customHeight="1">
      <c r="A40" s="127">
        <v>74</v>
      </c>
      <c r="B40" s="124" t="s">
        <v>774</v>
      </c>
      <c r="C40" s="124"/>
      <c r="D40" s="124" t="s">
        <v>168</v>
      </c>
      <c r="E40" s="124" t="s">
        <v>79</v>
      </c>
      <c r="F40" s="124"/>
      <c r="G40" s="124" t="s">
        <v>25</v>
      </c>
      <c r="H40" s="124" t="s">
        <v>107</v>
      </c>
      <c r="I40" s="124" t="s">
        <v>83</v>
      </c>
      <c r="J40" s="124" t="s">
        <v>146</v>
      </c>
      <c r="K40" s="124">
        <v>23.5</v>
      </c>
      <c r="L40" s="124">
        <v>37</v>
      </c>
      <c r="M40" s="129">
        <v>12</v>
      </c>
      <c r="N40" s="129">
        <f t="shared" si="1"/>
        <v>72.5</v>
      </c>
      <c r="O40" s="124"/>
      <c r="P40" s="101"/>
    </row>
    <row r="41" spans="1:16" ht="20.100000000000001" customHeight="1">
      <c r="A41" s="127">
        <v>56</v>
      </c>
      <c r="B41" s="124" t="s">
        <v>737</v>
      </c>
      <c r="C41" s="124"/>
      <c r="D41" s="124" t="s">
        <v>168</v>
      </c>
      <c r="E41" s="124" t="s">
        <v>79</v>
      </c>
      <c r="F41" s="124"/>
      <c r="G41" s="124" t="s">
        <v>25</v>
      </c>
      <c r="H41" s="124" t="s">
        <v>132</v>
      </c>
      <c r="I41" s="124" t="s">
        <v>81</v>
      </c>
      <c r="J41" s="124" t="s">
        <v>146</v>
      </c>
      <c r="K41" s="129">
        <v>19.5</v>
      </c>
      <c r="L41" s="129">
        <v>39</v>
      </c>
      <c r="M41" s="129">
        <v>13.5</v>
      </c>
      <c r="N41" s="129">
        <f t="shared" si="1"/>
        <v>72</v>
      </c>
      <c r="O41" s="129"/>
      <c r="P41" s="101"/>
    </row>
    <row r="42" spans="1:16" ht="20.100000000000001" customHeight="1">
      <c r="A42" s="127">
        <v>59</v>
      </c>
      <c r="B42" s="124" t="s">
        <v>747</v>
      </c>
      <c r="C42" s="124"/>
      <c r="D42" s="124" t="s">
        <v>168</v>
      </c>
      <c r="E42" s="124" t="s">
        <v>79</v>
      </c>
      <c r="F42" s="124"/>
      <c r="G42" s="124" t="s">
        <v>25</v>
      </c>
      <c r="H42" s="124" t="s">
        <v>29</v>
      </c>
      <c r="I42" s="124" t="s">
        <v>83</v>
      </c>
      <c r="J42" s="124" t="s">
        <v>146</v>
      </c>
      <c r="K42" s="129">
        <v>27</v>
      </c>
      <c r="L42" s="129">
        <v>32</v>
      </c>
      <c r="M42" s="129">
        <v>13</v>
      </c>
      <c r="N42" s="129">
        <f t="shared" si="1"/>
        <v>72</v>
      </c>
      <c r="O42" s="129"/>
      <c r="P42" s="101"/>
    </row>
    <row r="43" spans="1:16" ht="20.100000000000001" customHeight="1">
      <c r="A43" s="127">
        <v>35</v>
      </c>
      <c r="B43" s="124" t="s">
        <v>708</v>
      </c>
      <c r="C43" s="124"/>
      <c r="D43" s="124" t="s">
        <v>168</v>
      </c>
      <c r="E43" s="124" t="s">
        <v>79</v>
      </c>
      <c r="F43" s="124"/>
      <c r="G43" s="124" t="s">
        <v>25</v>
      </c>
      <c r="H43" s="124" t="s">
        <v>87</v>
      </c>
      <c r="I43" s="124" t="s">
        <v>86</v>
      </c>
      <c r="J43" s="124" t="s">
        <v>146</v>
      </c>
      <c r="K43" s="129">
        <v>21.5</v>
      </c>
      <c r="L43" s="129">
        <v>35</v>
      </c>
      <c r="M43" s="129">
        <v>15</v>
      </c>
      <c r="N43" s="129">
        <f t="shared" si="1"/>
        <v>71.5</v>
      </c>
      <c r="O43" s="129"/>
      <c r="P43" s="101"/>
    </row>
    <row r="44" spans="1:16" ht="20.100000000000001" customHeight="1">
      <c r="A44" s="127">
        <v>39</v>
      </c>
      <c r="B44" s="124" t="s">
        <v>713</v>
      </c>
      <c r="C44" s="124"/>
      <c r="D44" s="124" t="s">
        <v>168</v>
      </c>
      <c r="E44" s="124" t="s">
        <v>79</v>
      </c>
      <c r="F44" s="124"/>
      <c r="G44" s="124" t="s">
        <v>25</v>
      </c>
      <c r="H44" s="124" t="s">
        <v>72</v>
      </c>
      <c r="I44" s="124"/>
      <c r="J44" s="124" t="s">
        <v>146</v>
      </c>
      <c r="K44" s="129">
        <v>25</v>
      </c>
      <c r="L44" s="129">
        <v>33</v>
      </c>
      <c r="M44" s="129">
        <v>13.5</v>
      </c>
      <c r="N44" s="129">
        <f t="shared" si="1"/>
        <v>71.5</v>
      </c>
      <c r="O44" s="129"/>
      <c r="P44" s="101"/>
    </row>
    <row r="45" spans="1:16" ht="20.100000000000001" customHeight="1">
      <c r="A45" s="127">
        <v>60</v>
      </c>
      <c r="B45" s="124" t="s">
        <v>749</v>
      </c>
      <c r="C45" s="124"/>
      <c r="D45" s="124" t="s">
        <v>168</v>
      </c>
      <c r="E45" s="124" t="s">
        <v>79</v>
      </c>
      <c r="F45" s="124"/>
      <c r="G45" s="124" t="s">
        <v>25</v>
      </c>
      <c r="H45" s="124" t="s">
        <v>55</v>
      </c>
      <c r="I45" s="124" t="s">
        <v>83</v>
      </c>
      <c r="J45" s="124" t="s">
        <v>146</v>
      </c>
      <c r="K45" s="129">
        <v>20.5</v>
      </c>
      <c r="L45" s="129">
        <v>38</v>
      </c>
      <c r="M45" s="129">
        <v>13</v>
      </c>
      <c r="N45" s="129">
        <f t="shared" si="1"/>
        <v>71.5</v>
      </c>
      <c r="O45" s="129"/>
      <c r="P45" s="101"/>
    </row>
    <row r="46" spans="1:16" ht="20.100000000000001" customHeight="1">
      <c r="A46" s="127">
        <v>37</v>
      </c>
      <c r="B46" s="124" t="s">
        <v>711</v>
      </c>
      <c r="C46" s="124"/>
      <c r="D46" s="124" t="s">
        <v>168</v>
      </c>
      <c r="E46" s="124" t="s">
        <v>79</v>
      </c>
      <c r="F46" s="124"/>
      <c r="G46" s="124" t="s">
        <v>25</v>
      </c>
      <c r="H46" s="124" t="s">
        <v>56</v>
      </c>
      <c r="I46" s="124" t="s">
        <v>83</v>
      </c>
      <c r="J46" s="124" t="s">
        <v>146</v>
      </c>
      <c r="K46" s="129">
        <v>19</v>
      </c>
      <c r="L46" s="129">
        <v>38</v>
      </c>
      <c r="M46" s="124">
        <v>14</v>
      </c>
      <c r="N46" s="129">
        <f t="shared" si="1"/>
        <v>71</v>
      </c>
      <c r="O46" s="129"/>
      <c r="P46" s="101"/>
    </row>
    <row r="47" spans="1:16" ht="20.100000000000001" customHeight="1">
      <c r="A47" s="127">
        <v>63</v>
      </c>
      <c r="B47" s="124" t="s">
        <v>752</v>
      </c>
      <c r="C47" s="124"/>
      <c r="D47" s="124" t="s">
        <v>168</v>
      </c>
      <c r="E47" s="124" t="s">
        <v>79</v>
      </c>
      <c r="F47" s="124"/>
      <c r="G47" s="124" t="s">
        <v>25</v>
      </c>
      <c r="H47" s="124" t="s">
        <v>27</v>
      </c>
      <c r="I47" s="124" t="s">
        <v>83</v>
      </c>
      <c r="J47" s="124" t="s">
        <v>146</v>
      </c>
      <c r="K47" s="129">
        <v>22</v>
      </c>
      <c r="L47" s="129">
        <v>36</v>
      </c>
      <c r="M47" s="129">
        <v>13</v>
      </c>
      <c r="N47" s="129">
        <f t="shared" si="1"/>
        <v>71</v>
      </c>
      <c r="O47" s="129"/>
      <c r="P47" s="101"/>
    </row>
    <row r="48" spans="1:16" ht="20.100000000000001" customHeight="1">
      <c r="A48" s="127">
        <v>79</v>
      </c>
      <c r="B48" s="124" t="s">
        <v>1229</v>
      </c>
      <c r="C48" s="125"/>
      <c r="D48" s="124" t="s">
        <v>168</v>
      </c>
      <c r="E48" s="124" t="s">
        <v>79</v>
      </c>
      <c r="F48" s="125"/>
      <c r="G48" s="124" t="s">
        <v>95</v>
      </c>
      <c r="H48" s="124" t="s">
        <v>1222</v>
      </c>
      <c r="I48" s="124" t="s">
        <v>96</v>
      </c>
      <c r="J48" s="124" t="s">
        <v>146</v>
      </c>
      <c r="K48" s="124">
        <v>23</v>
      </c>
      <c r="L48" s="124">
        <v>34</v>
      </c>
      <c r="M48" s="129">
        <v>14</v>
      </c>
      <c r="N48" s="129">
        <f t="shared" si="1"/>
        <v>71</v>
      </c>
      <c r="O48" s="124"/>
      <c r="P48" s="101"/>
    </row>
    <row r="49" spans="1:16" ht="20.100000000000001" customHeight="1">
      <c r="A49" s="127">
        <v>41</v>
      </c>
      <c r="B49" s="124" t="s">
        <v>716</v>
      </c>
      <c r="C49" s="124"/>
      <c r="D49" s="124" t="s">
        <v>168</v>
      </c>
      <c r="E49" s="124" t="s">
        <v>79</v>
      </c>
      <c r="F49" s="124"/>
      <c r="G49" s="124" t="s">
        <v>25</v>
      </c>
      <c r="H49" s="124" t="s">
        <v>120</v>
      </c>
      <c r="I49" s="124" t="s">
        <v>119</v>
      </c>
      <c r="J49" s="124" t="s">
        <v>146</v>
      </c>
      <c r="K49" s="129">
        <v>21.5</v>
      </c>
      <c r="L49" s="129">
        <v>31</v>
      </c>
      <c r="M49" s="129">
        <v>18</v>
      </c>
      <c r="N49" s="129">
        <f t="shared" si="1"/>
        <v>70.5</v>
      </c>
      <c r="O49" s="129"/>
      <c r="P49" s="101"/>
    </row>
    <row r="50" spans="1:16" ht="20.100000000000001" customHeight="1">
      <c r="A50" s="127">
        <v>55</v>
      </c>
      <c r="B50" s="124" t="s">
        <v>736</v>
      </c>
      <c r="C50" s="124"/>
      <c r="D50" s="124" t="s">
        <v>168</v>
      </c>
      <c r="E50" s="124" t="s">
        <v>79</v>
      </c>
      <c r="F50" s="124"/>
      <c r="G50" s="124" t="s">
        <v>25</v>
      </c>
      <c r="H50" s="124" t="s">
        <v>70</v>
      </c>
      <c r="I50" s="124" t="s">
        <v>83</v>
      </c>
      <c r="J50" s="124" t="s">
        <v>146</v>
      </c>
      <c r="K50" s="129">
        <v>21</v>
      </c>
      <c r="L50" s="129">
        <v>33</v>
      </c>
      <c r="M50" s="129">
        <v>16</v>
      </c>
      <c r="N50" s="129">
        <f t="shared" si="1"/>
        <v>70</v>
      </c>
      <c r="O50" s="129"/>
      <c r="P50" s="101"/>
    </row>
    <row r="51" spans="1:16" ht="20.100000000000001" customHeight="1">
      <c r="A51" s="127">
        <v>67</v>
      </c>
      <c r="B51" s="124" t="s">
        <v>761</v>
      </c>
      <c r="C51" s="124"/>
      <c r="D51" s="124" t="s">
        <v>168</v>
      </c>
      <c r="E51" s="124" t="s">
        <v>79</v>
      </c>
      <c r="F51" s="124"/>
      <c r="G51" s="124" t="s">
        <v>25</v>
      </c>
      <c r="H51" s="124" t="s">
        <v>137</v>
      </c>
      <c r="I51" s="124" t="s">
        <v>83</v>
      </c>
      <c r="J51" s="124" t="s">
        <v>146</v>
      </c>
      <c r="K51" s="129">
        <v>20.5</v>
      </c>
      <c r="L51" s="129">
        <v>36</v>
      </c>
      <c r="M51" s="129">
        <v>13.5</v>
      </c>
      <c r="N51" s="129">
        <f t="shared" si="1"/>
        <v>70</v>
      </c>
      <c r="O51" s="129"/>
      <c r="P51" s="101"/>
    </row>
    <row r="52" spans="1:16" ht="20.100000000000001" customHeight="1">
      <c r="A52" s="127">
        <v>27</v>
      </c>
      <c r="B52" s="124" t="s">
        <v>700</v>
      </c>
      <c r="C52" s="124"/>
      <c r="D52" s="124" t="s">
        <v>168</v>
      </c>
      <c r="E52" s="124" t="s">
        <v>79</v>
      </c>
      <c r="F52" s="124"/>
      <c r="G52" s="124" t="s">
        <v>25</v>
      </c>
      <c r="H52" s="124" t="s">
        <v>74</v>
      </c>
      <c r="I52" s="124" t="s">
        <v>83</v>
      </c>
      <c r="J52" s="124" t="s">
        <v>146</v>
      </c>
      <c r="K52" s="129">
        <v>22</v>
      </c>
      <c r="L52" s="129">
        <v>34</v>
      </c>
      <c r="M52" s="129">
        <v>13.5</v>
      </c>
      <c r="N52" s="129">
        <f t="shared" si="1"/>
        <v>69.5</v>
      </c>
      <c r="O52" s="129"/>
      <c r="P52" s="101"/>
    </row>
    <row r="53" spans="1:16" ht="20.100000000000001" customHeight="1">
      <c r="A53" s="127">
        <v>40</v>
      </c>
      <c r="B53" s="124" t="s">
        <v>714</v>
      </c>
      <c r="C53" s="124"/>
      <c r="D53" s="124" t="s">
        <v>168</v>
      </c>
      <c r="E53" s="124" t="s">
        <v>79</v>
      </c>
      <c r="F53" s="124"/>
      <c r="G53" s="124" t="s">
        <v>25</v>
      </c>
      <c r="H53" s="124" t="s">
        <v>72</v>
      </c>
      <c r="I53" s="124"/>
      <c r="J53" s="124" t="s">
        <v>146</v>
      </c>
      <c r="K53" s="129">
        <v>21</v>
      </c>
      <c r="L53" s="129">
        <v>36</v>
      </c>
      <c r="M53" s="129">
        <v>12</v>
      </c>
      <c r="N53" s="129">
        <f t="shared" si="1"/>
        <v>69</v>
      </c>
      <c r="O53" s="129"/>
      <c r="P53" s="101"/>
    </row>
    <row r="54" spans="1:16" ht="20.100000000000001" customHeight="1">
      <c r="A54" s="127">
        <v>73</v>
      </c>
      <c r="B54" s="124" t="s">
        <v>773</v>
      </c>
      <c r="C54" s="124"/>
      <c r="D54" s="124" t="s">
        <v>168</v>
      </c>
      <c r="E54" s="124" t="s">
        <v>79</v>
      </c>
      <c r="F54" s="124"/>
      <c r="G54" s="124" t="s">
        <v>25</v>
      </c>
      <c r="H54" s="124" t="s">
        <v>75</v>
      </c>
      <c r="I54" s="124"/>
      <c r="J54" s="124" t="s">
        <v>146</v>
      </c>
      <c r="K54" s="124">
        <v>22</v>
      </c>
      <c r="L54" s="124">
        <v>35</v>
      </c>
      <c r="M54" s="129">
        <v>12</v>
      </c>
      <c r="N54" s="129">
        <f t="shared" si="1"/>
        <v>69</v>
      </c>
      <c r="O54" s="124"/>
      <c r="P54" s="101"/>
    </row>
    <row r="55" spans="1:16" ht="20.100000000000001" customHeight="1">
      <c r="A55" s="127">
        <v>22</v>
      </c>
      <c r="B55" s="124" t="s">
        <v>744</v>
      </c>
      <c r="C55" s="124"/>
      <c r="D55" s="124" t="s">
        <v>168</v>
      </c>
      <c r="E55" s="124" t="s">
        <v>79</v>
      </c>
      <c r="F55" s="124"/>
      <c r="G55" s="124" t="s">
        <v>259</v>
      </c>
      <c r="H55" s="124" t="s">
        <v>59</v>
      </c>
      <c r="I55" s="124" t="s">
        <v>745</v>
      </c>
      <c r="J55" s="124" t="s">
        <v>146</v>
      </c>
      <c r="K55" s="129">
        <v>22</v>
      </c>
      <c r="L55" s="129">
        <v>36</v>
      </c>
      <c r="M55" s="129">
        <v>10.5</v>
      </c>
      <c r="N55" s="129">
        <f t="shared" si="1"/>
        <v>68.5</v>
      </c>
      <c r="O55" s="129"/>
      <c r="P55" s="101"/>
    </row>
    <row r="56" spans="1:16" ht="20.100000000000001" customHeight="1">
      <c r="A56" s="127">
        <v>26</v>
      </c>
      <c r="B56" s="124" t="s">
        <v>697</v>
      </c>
      <c r="C56" s="124"/>
      <c r="D56" s="124" t="s">
        <v>168</v>
      </c>
      <c r="E56" s="124" t="s">
        <v>79</v>
      </c>
      <c r="F56" s="124"/>
      <c r="G56" s="124" t="s">
        <v>25</v>
      </c>
      <c r="H56" s="124" t="s">
        <v>80</v>
      </c>
      <c r="I56" s="124" t="s">
        <v>96</v>
      </c>
      <c r="J56" s="124" t="s">
        <v>146</v>
      </c>
      <c r="K56" s="129">
        <v>21.5</v>
      </c>
      <c r="L56" s="129">
        <v>33</v>
      </c>
      <c r="M56" s="129">
        <v>14</v>
      </c>
      <c r="N56" s="129">
        <f t="shared" si="1"/>
        <v>68.5</v>
      </c>
      <c r="O56" s="129"/>
      <c r="P56" s="101"/>
    </row>
    <row r="57" spans="1:16" ht="20.100000000000001" customHeight="1">
      <c r="A57" s="127">
        <v>42</v>
      </c>
      <c r="B57" s="124" t="s">
        <v>717</v>
      </c>
      <c r="C57" s="124"/>
      <c r="D57" s="124" t="s">
        <v>168</v>
      </c>
      <c r="E57" s="124" t="s">
        <v>79</v>
      </c>
      <c r="F57" s="124"/>
      <c r="G57" s="124" t="s">
        <v>25</v>
      </c>
      <c r="H57" s="124" t="s">
        <v>69</v>
      </c>
      <c r="I57" s="124" t="s">
        <v>240</v>
      </c>
      <c r="J57" s="124" t="s">
        <v>146</v>
      </c>
      <c r="K57" s="129">
        <v>19</v>
      </c>
      <c r="L57" s="129">
        <v>34</v>
      </c>
      <c r="M57" s="129">
        <v>15.5</v>
      </c>
      <c r="N57" s="129">
        <f t="shared" si="1"/>
        <v>68.5</v>
      </c>
      <c r="O57" s="129"/>
      <c r="P57" s="101"/>
    </row>
    <row r="58" spans="1:16" ht="20.100000000000001" customHeight="1">
      <c r="A58" s="127">
        <v>81</v>
      </c>
      <c r="B58" s="243" t="s">
        <v>1241</v>
      </c>
      <c r="C58" s="243"/>
      <c r="D58" s="242" t="s">
        <v>168</v>
      </c>
      <c r="E58" s="242" t="s">
        <v>79</v>
      </c>
      <c r="F58" s="242"/>
      <c r="G58" s="242" t="s">
        <v>25</v>
      </c>
      <c r="H58" s="242" t="s">
        <v>1240</v>
      </c>
      <c r="I58" s="124"/>
      <c r="J58" s="124" t="s">
        <v>146</v>
      </c>
      <c r="K58" s="124">
        <v>22.5</v>
      </c>
      <c r="L58" s="124">
        <v>32</v>
      </c>
      <c r="M58" s="124">
        <v>14</v>
      </c>
      <c r="N58" s="129">
        <f t="shared" si="1"/>
        <v>68.5</v>
      </c>
      <c r="O58" s="124"/>
      <c r="P58" s="101"/>
    </row>
    <row r="59" spans="1:16" ht="20.100000000000001" customHeight="1">
      <c r="A59" s="127">
        <v>82</v>
      </c>
      <c r="B59" s="243" t="s">
        <v>1242</v>
      </c>
      <c r="C59" s="243"/>
      <c r="D59" s="242" t="s">
        <v>168</v>
      </c>
      <c r="E59" s="242" t="s">
        <v>79</v>
      </c>
      <c r="F59" s="242"/>
      <c r="G59" s="242" t="s">
        <v>25</v>
      </c>
      <c r="H59" s="242" t="s">
        <v>1240</v>
      </c>
      <c r="I59" s="124"/>
      <c r="J59" s="124" t="s">
        <v>146</v>
      </c>
      <c r="K59" s="124">
        <v>23</v>
      </c>
      <c r="L59" s="124">
        <v>30</v>
      </c>
      <c r="M59" s="124">
        <v>15.5</v>
      </c>
      <c r="N59" s="129">
        <f t="shared" si="1"/>
        <v>68.5</v>
      </c>
      <c r="O59" s="124"/>
      <c r="P59" s="101"/>
    </row>
    <row r="60" spans="1:16" ht="20.100000000000001" customHeight="1">
      <c r="A60" s="127">
        <v>43</v>
      </c>
      <c r="B60" s="124" t="s">
        <v>718</v>
      </c>
      <c r="C60" s="124"/>
      <c r="D60" s="124" t="s">
        <v>168</v>
      </c>
      <c r="E60" s="124" t="s">
        <v>79</v>
      </c>
      <c r="F60" s="124"/>
      <c r="G60" s="124" t="s">
        <v>25</v>
      </c>
      <c r="H60" s="124" t="s">
        <v>122</v>
      </c>
      <c r="I60" s="124" t="s">
        <v>119</v>
      </c>
      <c r="J60" s="124" t="s">
        <v>146</v>
      </c>
      <c r="K60" s="129">
        <v>18</v>
      </c>
      <c r="L60" s="129">
        <v>37</v>
      </c>
      <c r="M60" s="129">
        <v>13</v>
      </c>
      <c r="N60" s="129">
        <f t="shared" si="1"/>
        <v>68</v>
      </c>
      <c r="O60" s="129"/>
      <c r="P60" s="101"/>
    </row>
    <row r="61" spans="1:16" ht="20.100000000000001" customHeight="1">
      <c r="A61" s="127">
        <v>78</v>
      </c>
      <c r="B61" s="124" t="s">
        <v>741</v>
      </c>
      <c r="C61" s="124"/>
      <c r="D61" s="124" t="s">
        <v>168</v>
      </c>
      <c r="E61" s="124" t="s">
        <v>79</v>
      </c>
      <c r="F61" s="124"/>
      <c r="G61" s="124" t="s">
        <v>95</v>
      </c>
      <c r="H61" s="124" t="s">
        <v>52</v>
      </c>
      <c r="I61" s="124" t="s">
        <v>96</v>
      </c>
      <c r="J61" s="124" t="s">
        <v>147</v>
      </c>
      <c r="K61" s="129">
        <v>22</v>
      </c>
      <c r="L61" s="129">
        <v>35</v>
      </c>
      <c r="M61" s="129">
        <v>11</v>
      </c>
      <c r="N61" s="129">
        <f t="shared" si="1"/>
        <v>68</v>
      </c>
      <c r="O61" s="129"/>
      <c r="P61" s="101"/>
    </row>
    <row r="62" spans="1:16" ht="20.100000000000001" customHeight="1">
      <c r="A62" s="127">
        <v>68</v>
      </c>
      <c r="B62" s="124" t="s">
        <v>763</v>
      </c>
      <c r="C62" s="124"/>
      <c r="D62" s="124" t="s">
        <v>168</v>
      </c>
      <c r="E62" s="124" t="s">
        <v>79</v>
      </c>
      <c r="F62" s="124"/>
      <c r="G62" s="124" t="s">
        <v>25</v>
      </c>
      <c r="H62" s="124" t="s">
        <v>58</v>
      </c>
      <c r="I62" s="124" t="s">
        <v>83</v>
      </c>
      <c r="J62" s="124" t="s">
        <v>146</v>
      </c>
      <c r="K62" s="129">
        <v>19.5</v>
      </c>
      <c r="L62" s="129">
        <v>36</v>
      </c>
      <c r="M62" s="129">
        <v>12</v>
      </c>
      <c r="N62" s="129">
        <f t="shared" si="1"/>
        <v>67.5</v>
      </c>
      <c r="O62" s="129"/>
      <c r="P62" s="101"/>
    </row>
    <row r="63" spans="1:16" ht="20.100000000000001" customHeight="1">
      <c r="A63" s="127">
        <v>69</v>
      </c>
      <c r="B63" s="124" t="s">
        <v>764</v>
      </c>
      <c r="C63" s="124"/>
      <c r="D63" s="124" t="s">
        <v>168</v>
      </c>
      <c r="E63" s="124" t="s">
        <v>79</v>
      </c>
      <c r="F63" s="124"/>
      <c r="G63" s="124" t="s">
        <v>25</v>
      </c>
      <c r="H63" s="124" t="s">
        <v>58</v>
      </c>
      <c r="I63" s="124" t="s">
        <v>83</v>
      </c>
      <c r="J63" s="124" t="s">
        <v>146</v>
      </c>
      <c r="K63" s="129">
        <v>20</v>
      </c>
      <c r="L63" s="129">
        <v>34</v>
      </c>
      <c r="M63" s="129">
        <v>13</v>
      </c>
      <c r="N63" s="129">
        <f t="shared" si="1"/>
        <v>67</v>
      </c>
      <c r="O63" s="129"/>
      <c r="P63" s="101"/>
    </row>
    <row r="64" spans="1:16" ht="20.100000000000001" customHeight="1">
      <c r="A64" s="127">
        <v>71</v>
      </c>
      <c r="B64" s="124" t="s">
        <v>771</v>
      </c>
      <c r="C64" s="124"/>
      <c r="D64" s="124" t="s">
        <v>168</v>
      </c>
      <c r="E64" s="124" t="s">
        <v>103</v>
      </c>
      <c r="F64" s="124"/>
      <c r="G64" s="124" t="s">
        <v>25</v>
      </c>
      <c r="H64" s="124" t="s">
        <v>105</v>
      </c>
      <c r="I64" s="124" t="s">
        <v>86</v>
      </c>
      <c r="J64" s="124" t="s">
        <v>146</v>
      </c>
      <c r="K64" s="124">
        <v>21.5</v>
      </c>
      <c r="L64" s="124">
        <v>32</v>
      </c>
      <c r="M64" s="124">
        <v>13.5</v>
      </c>
      <c r="N64" s="129">
        <f t="shared" si="1"/>
        <v>67</v>
      </c>
      <c r="O64" s="124"/>
      <c r="P64" s="101"/>
    </row>
    <row r="65" spans="1:16" ht="20.100000000000001" customHeight="1">
      <c r="A65" s="127">
        <v>33</v>
      </c>
      <c r="B65" s="124" t="s">
        <v>707</v>
      </c>
      <c r="C65" s="124"/>
      <c r="D65" s="124" t="s">
        <v>168</v>
      </c>
      <c r="E65" s="124" t="s">
        <v>76</v>
      </c>
      <c r="F65" s="124"/>
      <c r="G65" s="124" t="s">
        <v>25</v>
      </c>
      <c r="H65" s="124" t="s">
        <v>114</v>
      </c>
      <c r="I65" s="124"/>
      <c r="J65" s="124" t="s">
        <v>146</v>
      </c>
      <c r="K65" s="129">
        <v>19.5</v>
      </c>
      <c r="L65" s="129">
        <v>34</v>
      </c>
      <c r="M65" s="129">
        <v>13</v>
      </c>
      <c r="N65" s="129">
        <f t="shared" si="1"/>
        <v>66.5</v>
      </c>
      <c r="O65" s="129"/>
      <c r="P65" s="101"/>
    </row>
    <row r="66" spans="1:16" ht="20.100000000000001" customHeight="1">
      <c r="A66" s="127">
        <v>48</v>
      </c>
      <c r="B66" s="124" t="s">
        <v>724</v>
      </c>
      <c r="C66" s="124"/>
      <c r="D66" s="124" t="s">
        <v>168</v>
      </c>
      <c r="E66" s="124" t="s">
        <v>79</v>
      </c>
      <c r="F66" s="124"/>
      <c r="G66" s="124" t="s">
        <v>25</v>
      </c>
      <c r="H66" s="124" t="s">
        <v>65</v>
      </c>
      <c r="I66" s="124" t="s">
        <v>86</v>
      </c>
      <c r="J66" s="124" t="s">
        <v>146</v>
      </c>
      <c r="K66" s="129">
        <v>19</v>
      </c>
      <c r="L66" s="129">
        <v>34</v>
      </c>
      <c r="M66" s="129">
        <v>12.5</v>
      </c>
      <c r="N66" s="129">
        <f t="shared" ref="N66:N83" si="2">K66 +L66+M66</f>
        <v>65.5</v>
      </c>
      <c r="O66" s="129" t="s">
        <v>1270</v>
      </c>
      <c r="P66" s="101"/>
    </row>
    <row r="67" spans="1:16" ht="20.100000000000001" customHeight="1">
      <c r="A67" s="127">
        <v>23</v>
      </c>
      <c r="B67" s="124" t="s">
        <v>694</v>
      </c>
      <c r="C67" s="124"/>
      <c r="D67" s="124" t="s">
        <v>168</v>
      </c>
      <c r="E67" s="124" t="s">
        <v>79</v>
      </c>
      <c r="F67" s="124"/>
      <c r="G67" s="124" t="s">
        <v>25</v>
      </c>
      <c r="H67" s="124" t="s">
        <v>73</v>
      </c>
      <c r="I67" s="124" t="s">
        <v>119</v>
      </c>
      <c r="J67" s="124" t="s">
        <v>146</v>
      </c>
      <c r="K67" s="129">
        <v>18.5</v>
      </c>
      <c r="L67" s="129">
        <v>34</v>
      </c>
      <c r="M67" s="129">
        <v>13</v>
      </c>
      <c r="N67" s="129">
        <f t="shared" si="2"/>
        <v>65.5</v>
      </c>
      <c r="O67" s="129"/>
      <c r="P67" s="101"/>
    </row>
    <row r="68" spans="1:16" ht="20.100000000000001" customHeight="1">
      <c r="A68" s="127">
        <v>49</v>
      </c>
      <c r="B68" s="124" t="s">
        <v>726</v>
      </c>
      <c r="C68" s="124"/>
      <c r="D68" s="124" t="s">
        <v>168</v>
      </c>
      <c r="E68" s="124" t="s">
        <v>79</v>
      </c>
      <c r="F68" s="124"/>
      <c r="G68" s="124" t="s">
        <v>25</v>
      </c>
      <c r="H68" s="124" t="s">
        <v>30</v>
      </c>
      <c r="I68" s="124" t="s">
        <v>83</v>
      </c>
      <c r="J68" s="124" t="s">
        <v>146</v>
      </c>
      <c r="K68" s="129">
        <v>19</v>
      </c>
      <c r="L68" s="129">
        <v>32</v>
      </c>
      <c r="M68" s="129">
        <v>13.5</v>
      </c>
      <c r="N68" s="129">
        <f t="shared" si="2"/>
        <v>64.5</v>
      </c>
      <c r="O68" s="129"/>
      <c r="P68" s="101"/>
    </row>
    <row r="69" spans="1:16" ht="20.100000000000001" customHeight="1">
      <c r="A69" s="127">
        <v>58</v>
      </c>
      <c r="B69" s="124" t="s">
        <v>742</v>
      </c>
      <c r="C69" s="124"/>
      <c r="D69" s="124" t="s">
        <v>168</v>
      </c>
      <c r="E69" s="124" t="s">
        <v>79</v>
      </c>
      <c r="F69" s="124"/>
      <c r="G69" s="124" t="s">
        <v>25</v>
      </c>
      <c r="H69" s="124" t="s">
        <v>60</v>
      </c>
      <c r="I69" s="124" t="s">
        <v>83</v>
      </c>
      <c r="J69" s="124" t="s">
        <v>146</v>
      </c>
      <c r="K69" s="129">
        <v>20</v>
      </c>
      <c r="L69" s="129">
        <v>30</v>
      </c>
      <c r="M69" s="129">
        <v>14</v>
      </c>
      <c r="N69" s="129">
        <f t="shared" si="2"/>
        <v>64</v>
      </c>
      <c r="O69" s="129"/>
      <c r="P69" s="101"/>
    </row>
    <row r="70" spans="1:16" ht="20.100000000000001" customHeight="1">
      <c r="A70" s="127">
        <v>29</v>
      </c>
      <c r="B70" s="124" t="s">
        <v>703</v>
      </c>
      <c r="C70" s="124"/>
      <c r="D70" s="124" t="s">
        <v>168</v>
      </c>
      <c r="E70" s="124" t="s">
        <v>79</v>
      </c>
      <c r="F70" s="124"/>
      <c r="G70" s="124" t="s">
        <v>25</v>
      </c>
      <c r="H70" s="124" t="s">
        <v>504</v>
      </c>
      <c r="I70" s="124" t="s">
        <v>119</v>
      </c>
      <c r="J70" s="124" t="s">
        <v>146</v>
      </c>
      <c r="K70" s="129">
        <v>21</v>
      </c>
      <c r="L70" s="129">
        <v>28</v>
      </c>
      <c r="M70" s="129">
        <v>14</v>
      </c>
      <c r="N70" s="129">
        <f t="shared" si="2"/>
        <v>63</v>
      </c>
      <c r="O70" s="129"/>
      <c r="P70" s="101"/>
    </row>
    <row r="71" spans="1:16" ht="20.100000000000001" customHeight="1">
      <c r="A71" s="127">
        <v>62</v>
      </c>
      <c r="B71" s="124" t="s">
        <v>751</v>
      </c>
      <c r="C71" s="124"/>
      <c r="D71" s="124" t="s">
        <v>168</v>
      </c>
      <c r="E71" s="124" t="s">
        <v>79</v>
      </c>
      <c r="F71" s="124"/>
      <c r="G71" s="124" t="s">
        <v>25</v>
      </c>
      <c r="H71" s="124" t="s">
        <v>27</v>
      </c>
      <c r="I71" s="124" t="s">
        <v>83</v>
      </c>
      <c r="J71" s="124" t="s">
        <v>146</v>
      </c>
      <c r="K71" s="129">
        <v>18.5</v>
      </c>
      <c r="L71" s="129">
        <v>32</v>
      </c>
      <c r="M71" s="129">
        <v>12.5</v>
      </c>
      <c r="N71" s="129">
        <f t="shared" si="2"/>
        <v>63</v>
      </c>
      <c r="O71" s="129"/>
      <c r="P71" s="101"/>
    </row>
    <row r="72" spans="1:16" ht="42">
      <c r="A72" s="127">
        <v>45</v>
      </c>
      <c r="B72" s="124" t="s">
        <v>720</v>
      </c>
      <c r="C72" s="124"/>
      <c r="D72" s="124" t="s">
        <v>168</v>
      </c>
      <c r="E72" s="124" t="s">
        <v>79</v>
      </c>
      <c r="F72" s="124"/>
      <c r="G72" s="124" t="s">
        <v>25</v>
      </c>
      <c r="H72" s="124" t="s">
        <v>123</v>
      </c>
      <c r="I72" s="124" t="s">
        <v>83</v>
      </c>
      <c r="J72" s="124" t="s">
        <v>146</v>
      </c>
      <c r="K72" s="129">
        <v>19.5</v>
      </c>
      <c r="L72" s="129">
        <v>30</v>
      </c>
      <c r="M72" s="129">
        <v>11.5</v>
      </c>
      <c r="N72" s="129">
        <f t="shared" si="2"/>
        <v>61</v>
      </c>
      <c r="O72" s="129" t="s">
        <v>1272</v>
      </c>
      <c r="P72" s="101"/>
    </row>
    <row r="73" spans="1:16">
      <c r="A73" s="127">
        <v>65</v>
      </c>
      <c r="B73" s="124" t="s">
        <v>757</v>
      </c>
      <c r="C73" s="124"/>
      <c r="D73" s="124" t="s">
        <v>168</v>
      </c>
      <c r="E73" s="124" t="s">
        <v>79</v>
      </c>
      <c r="F73" s="124"/>
      <c r="G73" s="124" t="s">
        <v>25</v>
      </c>
      <c r="H73" s="124" t="s">
        <v>100</v>
      </c>
      <c r="I73" s="124" t="s">
        <v>83</v>
      </c>
      <c r="J73" s="124" t="s">
        <v>146</v>
      </c>
      <c r="K73" s="129">
        <v>20</v>
      </c>
      <c r="L73" s="129">
        <v>28</v>
      </c>
      <c r="M73" s="129">
        <v>11.5</v>
      </c>
      <c r="N73" s="129">
        <f t="shared" si="2"/>
        <v>59.5</v>
      </c>
      <c r="O73" s="129"/>
      <c r="P73" s="101"/>
    </row>
    <row r="74" spans="1:16" ht="42">
      <c r="A74" s="127">
        <v>44</v>
      </c>
      <c r="B74" s="124" t="s">
        <v>719</v>
      </c>
      <c r="C74" s="124"/>
      <c r="D74" s="124" t="s">
        <v>168</v>
      </c>
      <c r="E74" s="124" t="s">
        <v>79</v>
      </c>
      <c r="F74" s="124"/>
      <c r="G74" s="124" t="s">
        <v>25</v>
      </c>
      <c r="H74" s="124" t="s">
        <v>122</v>
      </c>
      <c r="I74" s="124" t="s">
        <v>119</v>
      </c>
      <c r="J74" s="124" t="s">
        <v>146</v>
      </c>
      <c r="K74" s="129">
        <v>19</v>
      </c>
      <c r="L74" s="129">
        <v>27</v>
      </c>
      <c r="M74" s="129">
        <v>13</v>
      </c>
      <c r="N74" s="129">
        <f t="shared" si="2"/>
        <v>59</v>
      </c>
      <c r="O74" s="129" t="s">
        <v>1274</v>
      </c>
      <c r="P74" s="101"/>
    </row>
    <row r="75" spans="1:16">
      <c r="A75" s="127">
        <v>72</v>
      </c>
      <c r="B75" s="124" t="s">
        <v>772</v>
      </c>
      <c r="C75" s="124"/>
      <c r="D75" s="124" t="s">
        <v>168</v>
      </c>
      <c r="E75" s="124" t="s">
        <v>79</v>
      </c>
      <c r="F75" s="124"/>
      <c r="G75" s="124" t="s">
        <v>25</v>
      </c>
      <c r="H75" s="124" t="s">
        <v>71</v>
      </c>
      <c r="I75" s="124" t="s">
        <v>86</v>
      </c>
      <c r="J75" s="124" t="s">
        <v>146</v>
      </c>
      <c r="K75" s="124">
        <v>18.5</v>
      </c>
      <c r="L75" s="124">
        <v>26</v>
      </c>
      <c r="M75" s="129">
        <v>11.5</v>
      </c>
      <c r="N75" s="129">
        <f t="shared" si="2"/>
        <v>56</v>
      </c>
      <c r="O75" s="124"/>
      <c r="P75" s="101"/>
    </row>
    <row r="76" spans="1:16">
      <c r="A76" s="127">
        <v>76</v>
      </c>
      <c r="B76" s="124" t="s">
        <v>722</v>
      </c>
      <c r="C76" s="124"/>
      <c r="D76" s="124" t="s">
        <v>190</v>
      </c>
      <c r="E76" s="124" t="s">
        <v>103</v>
      </c>
      <c r="F76" s="124"/>
      <c r="G76" s="124" t="s">
        <v>104</v>
      </c>
      <c r="H76" s="124" t="s">
        <v>66</v>
      </c>
      <c r="I76" s="124" t="s">
        <v>153</v>
      </c>
      <c r="J76" s="124" t="s">
        <v>147</v>
      </c>
      <c r="K76" s="129">
        <v>21.5</v>
      </c>
      <c r="L76" s="129">
        <v>24</v>
      </c>
      <c r="M76" s="129">
        <v>10</v>
      </c>
      <c r="N76" s="129">
        <f t="shared" si="2"/>
        <v>55.5</v>
      </c>
      <c r="O76" s="129" t="s">
        <v>1273</v>
      </c>
      <c r="P76" s="101"/>
    </row>
    <row r="77" spans="1:16">
      <c r="A77" s="127">
        <v>31</v>
      </c>
      <c r="B77" s="124" t="s">
        <v>705</v>
      </c>
      <c r="C77" s="124"/>
      <c r="D77" s="124" t="s">
        <v>168</v>
      </c>
      <c r="E77" s="124" t="s">
        <v>79</v>
      </c>
      <c r="F77" s="124"/>
      <c r="G77" s="124" t="s">
        <v>25</v>
      </c>
      <c r="H77" s="124" t="s">
        <v>113</v>
      </c>
      <c r="I77" s="124" t="s">
        <v>83</v>
      </c>
      <c r="J77" s="124" t="s">
        <v>146</v>
      </c>
      <c r="K77" s="129">
        <v>12.5</v>
      </c>
      <c r="L77" s="129">
        <v>27</v>
      </c>
      <c r="M77" s="129">
        <v>11</v>
      </c>
      <c r="N77" s="129">
        <f t="shared" si="2"/>
        <v>50.5</v>
      </c>
      <c r="O77" s="129" t="s">
        <v>1271</v>
      </c>
      <c r="P77" s="101"/>
    </row>
    <row r="78" spans="1:16">
      <c r="A78" s="127">
        <v>24</v>
      </c>
      <c r="B78" s="124" t="s">
        <v>695</v>
      </c>
      <c r="C78" s="124"/>
      <c r="D78" s="124" t="s">
        <v>168</v>
      </c>
      <c r="E78" s="124" t="s">
        <v>79</v>
      </c>
      <c r="F78" s="124"/>
      <c r="G78" s="124" t="s">
        <v>25</v>
      </c>
      <c r="H78" s="124" t="s">
        <v>73</v>
      </c>
      <c r="I78" s="124" t="s">
        <v>83</v>
      </c>
      <c r="J78" s="124" t="s">
        <v>146</v>
      </c>
      <c r="K78" s="129"/>
      <c r="L78" s="129"/>
      <c r="M78" s="129"/>
      <c r="N78" s="129">
        <f t="shared" si="2"/>
        <v>0</v>
      </c>
      <c r="O78" s="129" t="s">
        <v>1276</v>
      </c>
      <c r="P78" s="101"/>
    </row>
    <row r="79" spans="1:16">
      <c r="A79" s="127">
        <v>28</v>
      </c>
      <c r="B79" s="124" t="s">
        <v>701</v>
      </c>
      <c r="C79" s="124"/>
      <c r="D79" s="124" t="s">
        <v>168</v>
      </c>
      <c r="E79" s="124" t="s">
        <v>79</v>
      </c>
      <c r="F79" s="124"/>
      <c r="G79" s="124" t="s">
        <v>25</v>
      </c>
      <c r="H79" s="124" t="s">
        <v>702</v>
      </c>
      <c r="I79" s="124" t="s">
        <v>96</v>
      </c>
      <c r="J79" s="124" t="s">
        <v>146</v>
      </c>
      <c r="K79" s="129"/>
      <c r="L79" s="129"/>
      <c r="M79" s="129"/>
      <c r="N79" s="129">
        <f t="shared" si="2"/>
        <v>0</v>
      </c>
      <c r="O79" s="129" t="s">
        <v>1276</v>
      </c>
      <c r="P79" s="101"/>
    </row>
    <row r="80" spans="1:16">
      <c r="A80" s="127">
        <v>46</v>
      </c>
      <c r="B80" s="124" t="s">
        <v>721</v>
      </c>
      <c r="C80" s="124"/>
      <c r="D80" s="124" t="s">
        <v>168</v>
      </c>
      <c r="E80" s="124" t="s">
        <v>79</v>
      </c>
      <c r="F80" s="124"/>
      <c r="G80" s="124" t="s">
        <v>25</v>
      </c>
      <c r="H80" s="124" t="s">
        <v>124</v>
      </c>
      <c r="I80" s="124" t="s">
        <v>83</v>
      </c>
      <c r="J80" s="124" t="s">
        <v>146</v>
      </c>
      <c r="K80" s="129"/>
      <c r="L80" s="129"/>
      <c r="M80" s="129"/>
      <c r="N80" s="129">
        <f t="shared" si="2"/>
        <v>0</v>
      </c>
      <c r="O80" s="129" t="s">
        <v>1276</v>
      </c>
      <c r="P80" s="101"/>
    </row>
    <row r="81" spans="1:16">
      <c r="A81" s="127">
        <v>53</v>
      </c>
      <c r="B81" s="124" t="s">
        <v>733</v>
      </c>
      <c r="C81" s="124"/>
      <c r="D81" s="124" t="s">
        <v>168</v>
      </c>
      <c r="E81" s="124" t="s">
        <v>79</v>
      </c>
      <c r="F81" s="124"/>
      <c r="G81" s="124" t="s">
        <v>25</v>
      </c>
      <c r="H81" s="124" t="s">
        <v>62</v>
      </c>
      <c r="I81" s="124"/>
      <c r="J81" s="124" t="s">
        <v>146</v>
      </c>
      <c r="K81" s="129"/>
      <c r="L81" s="129"/>
      <c r="M81" s="129"/>
      <c r="N81" s="129">
        <f t="shared" si="2"/>
        <v>0</v>
      </c>
      <c r="O81" s="129" t="s">
        <v>1276</v>
      </c>
      <c r="P81" s="101"/>
    </row>
    <row r="82" spans="1:16">
      <c r="A82" s="127">
        <v>54</v>
      </c>
      <c r="B82" s="124" t="s">
        <v>734</v>
      </c>
      <c r="C82" s="124"/>
      <c r="D82" s="124" t="s">
        <v>168</v>
      </c>
      <c r="E82" s="124" t="s">
        <v>79</v>
      </c>
      <c r="F82" s="124"/>
      <c r="G82" s="124" t="s">
        <v>25</v>
      </c>
      <c r="H82" s="124" t="s">
        <v>62</v>
      </c>
      <c r="I82" s="124"/>
      <c r="J82" s="124" t="s">
        <v>146</v>
      </c>
      <c r="K82" s="129"/>
      <c r="L82" s="129"/>
      <c r="M82" s="129"/>
      <c r="N82" s="129">
        <f t="shared" si="2"/>
        <v>0</v>
      </c>
      <c r="O82" s="129" t="s">
        <v>1276</v>
      </c>
      <c r="P82" s="101"/>
    </row>
    <row r="83" spans="1:16">
      <c r="A83" s="127">
        <v>75</v>
      </c>
      <c r="B83" s="124" t="s">
        <v>709</v>
      </c>
      <c r="C83" s="124"/>
      <c r="D83" s="124" t="s">
        <v>168</v>
      </c>
      <c r="E83" s="124" t="s">
        <v>103</v>
      </c>
      <c r="F83" s="124"/>
      <c r="G83" s="124" t="s">
        <v>104</v>
      </c>
      <c r="H83" s="124" t="s">
        <v>115</v>
      </c>
      <c r="I83" s="124" t="s">
        <v>83</v>
      </c>
      <c r="J83" s="124" t="s">
        <v>147</v>
      </c>
      <c r="K83" s="129"/>
      <c r="L83" s="129"/>
      <c r="M83" s="129"/>
      <c r="N83" s="129">
        <f t="shared" si="2"/>
        <v>0</v>
      </c>
      <c r="O83" s="129" t="s">
        <v>923</v>
      </c>
      <c r="P83" s="101"/>
    </row>
  </sheetData>
  <sortState ref="A2:P83">
    <sortCondition ref="P2:P83"/>
    <sortCondition descending="1" ref="N2:N83"/>
  </sortState>
  <conditionalFormatting sqref="B72:B1048576 B1:B2 B22:B30 B33:B61 B4:B5 B63 B8:B20">
    <cfRule type="duplicateValues" dxfId="16" priority="3"/>
  </conditionalFormatting>
  <conditionalFormatting sqref="B3:C3 B62:C62 F3 F62">
    <cfRule type="duplicateValues" dxfId="15" priority="1"/>
  </conditionalFormatting>
  <conditionalFormatting sqref="I3 I62">
    <cfRule type="duplicateValues" dxfId="14" priority="2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69"/>
  <sheetViews>
    <sheetView rightToLeft="1" topLeftCell="A52" zoomScaleNormal="100" workbookViewId="0">
      <selection activeCell="F69" sqref="F2:F69"/>
    </sheetView>
  </sheetViews>
  <sheetFormatPr defaultRowHeight="14.25"/>
  <cols>
    <col min="1" max="1" width="5.375" bestFit="1" customWidth="1"/>
    <col min="2" max="2" width="34.25" customWidth="1"/>
    <col min="3" max="3" width="9.25" customWidth="1"/>
    <col min="4" max="4" width="7.25" customWidth="1"/>
    <col min="5" max="5" width="5.25" bestFit="1" customWidth="1"/>
    <col min="6" max="6" width="6.375" customWidth="1"/>
    <col min="7" max="7" width="4.375" customWidth="1"/>
    <col min="8" max="8" width="6.125" customWidth="1"/>
    <col min="9" max="9" width="5.625" customWidth="1"/>
    <col min="10" max="10" width="8.625" customWidth="1"/>
    <col min="11" max="16" width="14" customWidth="1"/>
    <col min="17" max="17" width="36.75" customWidth="1"/>
  </cols>
  <sheetData>
    <row r="1" spans="1:18" s="118" customFormat="1" ht="63">
      <c r="A1" s="116" t="s">
        <v>0</v>
      </c>
      <c r="B1" s="116" t="s">
        <v>1</v>
      </c>
      <c r="C1" s="116" t="s">
        <v>50</v>
      </c>
      <c r="D1" s="116" t="s">
        <v>16</v>
      </c>
      <c r="E1" s="116" t="s">
        <v>15</v>
      </c>
      <c r="F1" s="116" t="s">
        <v>51</v>
      </c>
      <c r="G1" s="116" t="s">
        <v>14</v>
      </c>
      <c r="H1" s="116" t="s">
        <v>17</v>
      </c>
      <c r="I1" s="116" t="s">
        <v>3</v>
      </c>
      <c r="J1" s="116" t="s">
        <v>4</v>
      </c>
      <c r="K1" s="116" t="s">
        <v>35</v>
      </c>
      <c r="L1" s="116" t="s">
        <v>36</v>
      </c>
      <c r="M1" s="116" t="s">
        <v>38</v>
      </c>
      <c r="N1" s="116" t="s">
        <v>39</v>
      </c>
      <c r="O1" s="116" t="s">
        <v>37</v>
      </c>
      <c r="P1" s="116" t="s">
        <v>22</v>
      </c>
      <c r="Q1" s="116" t="s">
        <v>18</v>
      </c>
      <c r="R1"/>
    </row>
    <row r="2" spans="1:18" ht="21">
      <c r="A2" s="119">
        <v>1</v>
      </c>
      <c r="B2" s="11" t="s">
        <v>820</v>
      </c>
      <c r="C2" s="11"/>
      <c r="D2" s="11" t="s">
        <v>168</v>
      </c>
      <c r="E2" s="11" t="s">
        <v>79</v>
      </c>
      <c r="F2" s="11"/>
      <c r="G2" s="11" t="s">
        <v>24</v>
      </c>
      <c r="H2" s="11" t="s">
        <v>27</v>
      </c>
      <c r="I2" s="11" t="s">
        <v>81</v>
      </c>
      <c r="J2" s="11" t="s">
        <v>148</v>
      </c>
      <c r="K2" s="11">
        <v>29</v>
      </c>
      <c r="L2" s="31">
        <v>35</v>
      </c>
      <c r="M2" s="11">
        <v>7.5</v>
      </c>
      <c r="N2" s="11">
        <v>10</v>
      </c>
      <c r="O2" s="11">
        <v>8.5</v>
      </c>
      <c r="P2" s="120">
        <f t="shared" ref="P2:P33" si="0">SUM(K2:O2)</f>
        <v>90</v>
      </c>
      <c r="Q2" s="11"/>
    </row>
    <row r="3" spans="1:18" ht="21">
      <c r="A3" s="119">
        <v>2</v>
      </c>
      <c r="B3" s="11" t="s">
        <v>899</v>
      </c>
      <c r="C3" s="11"/>
      <c r="D3" s="11" t="s">
        <v>168</v>
      </c>
      <c r="E3" s="11" t="s">
        <v>79</v>
      </c>
      <c r="F3" s="11"/>
      <c r="G3" s="11" t="s">
        <v>24</v>
      </c>
      <c r="H3" s="11" t="s">
        <v>118</v>
      </c>
      <c r="I3" s="11" t="s">
        <v>133</v>
      </c>
      <c r="J3" s="11" t="s">
        <v>151</v>
      </c>
      <c r="K3" s="120">
        <v>29</v>
      </c>
      <c r="L3" s="121">
        <v>34</v>
      </c>
      <c r="M3" s="120">
        <v>8</v>
      </c>
      <c r="N3" s="120">
        <v>10.5</v>
      </c>
      <c r="O3" s="120">
        <v>7</v>
      </c>
      <c r="P3" s="120">
        <f t="shared" si="0"/>
        <v>88.5</v>
      </c>
      <c r="Q3" s="120"/>
    </row>
    <row r="4" spans="1:18" ht="21">
      <c r="A4" s="119">
        <v>3</v>
      </c>
      <c r="B4" s="11" t="s">
        <v>784</v>
      </c>
      <c r="C4" s="11"/>
      <c r="D4" s="11" t="s">
        <v>168</v>
      </c>
      <c r="E4" s="11" t="s">
        <v>76</v>
      </c>
      <c r="F4" s="11"/>
      <c r="G4" s="11" t="s">
        <v>24</v>
      </c>
      <c r="H4" s="11" t="s">
        <v>114</v>
      </c>
      <c r="I4" s="11"/>
      <c r="J4" s="11" t="s">
        <v>148</v>
      </c>
      <c r="K4" s="120">
        <f>15+3.5+4+4</f>
        <v>26.5</v>
      </c>
      <c r="L4" s="121">
        <v>34</v>
      </c>
      <c r="M4" s="120">
        <v>7</v>
      </c>
      <c r="N4" s="120">
        <v>11</v>
      </c>
      <c r="O4" s="120">
        <v>7</v>
      </c>
      <c r="P4" s="120">
        <f t="shared" si="0"/>
        <v>85.5</v>
      </c>
      <c r="Q4" s="120"/>
    </row>
    <row r="5" spans="1:18" ht="21">
      <c r="A5" s="119">
        <v>4</v>
      </c>
      <c r="B5" s="11" t="s">
        <v>1264</v>
      </c>
      <c r="C5" s="20"/>
      <c r="D5" s="20"/>
      <c r="E5" s="20"/>
      <c r="F5" s="20"/>
      <c r="G5" s="11" t="s">
        <v>24</v>
      </c>
      <c r="H5" s="11" t="s">
        <v>70</v>
      </c>
      <c r="I5" s="20"/>
      <c r="J5" s="20"/>
      <c r="K5" s="20">
        <v>28</v>
      </c>
      <c r="L5" s="154">
        <v>34</v>
      </c>
      <c r="M5" s="20">
        <v>7.5</v>
      </c>
      <c r="N5" s="20">
        <v>9</v>
      </c>
      <c r="O5" s="20">
        <v>7</v>
      </c>
      <c r="P5" s="120">
        <f t="shared" si="0"/>
        <v>85.5</v>
      </c>
      <c r="Q5" s="20" t="s">
        <v>1260</v>
      </c>
    </row>
    <row r="6" spans="1:18" ht="21">
      <c r="A6" s="119">
        <v>5</v>
      </c>
      <c r="B6" s="11" t="s">
        <v>826</v>
      </c>
      <c r="C6" s="11"/>
      <c r="D6" s="11" t="s">
        <v>168</v>
      </c>
      <c r="E6" s="11" t="s">
        <v>79</v>
      </c>
      <c r="F6" s="11"/>
      <c r="G6" s="11" t="s">
        <v>24</v>
      </c>
      <c r="H6" s="11" t="s">
        <v>137</v>
      </c>
      <c r="I6" s="11" t="s">
        <v>101</v>
      </c>
      <c r="J6" s="11" t="s">
        <v>148</v>
      </c>
      <c r="K6" s="11">
        <v>24.5</v>
      </c>
      <c r="L6" s="31">
        <v>34</v>
      </c>
      <c r="M6" s="11">
        <v>7</v>
      </c>
      <c r="N6" s="11">
        <v>12.5</v>
      </c>
      <c r="O6" s="11">
        <v>7</v>
      </c>
      <c r="P6" s="120">
        <f t="shared" si="0"/>
        <v>85</v>
      </c>
      <c r="Q6" s="11"/>
    </row>
    <row r="7" spans="1:18" ht="21">
      <c r="A7" s="119">
        <v>6</v>
      </c>
      <c r="B7" s="11" t="s">
        <v>789</v>
      </c>
      <c r="C7" s="11"/>
      <c r="D7" s="11" t="s">
        <v>168</v>
      </c>
      <c r="E7" s="11" t="s">
        <v>79</v>
      </c>
      <c r="F7" s="11"/>
      <c r="G7" s="11" t="s">
        <v>24</v>
      </c>
      <c r="H7" s="11" t="s">
        <v>150</v>
      </c>
      <c r="I7" s="11" t="s">
        <v>86</v>
      </c>
      <c r="J7" s="11" t="s">
        <v>148</v>
      </c>
      <c r="K7" s="120">
        <v>27.5</v>
      </c>
      <c r="L7" s="121">
        <v>33</v>
      </c>
      <c r="M7" s="120">
        <v>6</v>
      </c>
      <c r="N7" s="120">
        <v>10.5</v>
      </c>
      <c r="O7" s="120">
        <v>7</v>
      </c>
      <c r="P7" s="120">
        <f t="shared" si="0"/>
        <v>84</v>
      </c>
      <c r="Q7" s="120"/>
    </row>
    <row r="8" spans="1:18" ht="21">
      <c r="A8" s="119">
        <v>7</v>
      </c>
      <c r="B8" s="11" t="s">
        <v>835</v>
      </c>
      <c r="C8" s="11"/>
      <c r="D8" s="11" t="s">
        <v>168</v>
      </c>
      <c r="E8" s="11" t="s">
        <v>79</v>
      </c>
      <c r="F8" s="11"/>
      <c r="G8" s="11" t="s">
        <v>24</v>
      </c>
      <c r="H8" s="11" t="s">
        <v>58</v>
      </c>
      <c r="I8" s="11" t="s">
        <v>81</v>
      </c>
      <c r="J8" s="11" t="s">
        <v>148</v>
      </c>
      <c r="K8" s="11">
        <v>27.5</v>
      </c>
      <c r="L8" s="31">
        <v>34</v>
      </c>
      <c r="M8" s="11">
        <v>6</v>
      </c>
      <c r="N8" s="11">
        <v>9</v>
      </c>
      <c r="O8" s="11">
        <v>6</v>
      </c>
      <c r="P8" s="120">
        <f t="shared" si="0"/>
        <v>82.5</v>
      </c>
      <c r="Q8" s="11" t="s">
        <v>907</v>
      </c>
    </row>
    <row r="9" spans="1:18" ht="21">
      <c r="A9" s="119">
        <v>8</v>
      </c>
      <c r="B9" s="11" t="s">
        <v>779</v>
      </c>
      <c r="C9" s="11"/>
      <c r="D9" s="11" t="s">
        <v>168</v>
      </c>
      <c r="E9" s="11" t="s">
        <v>79</v>
      </c>
      <c r="F9" s="11"/>
      <c r="G9" s="11" t="s">
        <v>24</v>
      </c>
      <c r="H9" s="11" t="s">
        <v>74</v>
      </c>
      <c r="I9" s="11" t="s">
        <v>81</v>
      </c>
      <c r="J9" s="11" t="s">
        <v>148</v>
      </c>
      <c r="K9" s="120">
        <v>26.5</v>
      </c>
      <c r="L9" s="121">
        <v>34</v>
      </c>
      <c r="M9" s="120">
        <v>6.5</v>
      </c>
      <c r="N9" s="120">
        <v>9.5</v>
      </c>
      <c r="O9" s="120">
        <v>5.5</v>
      </c>
      <c r="P9" s="120">
        <f t="shared" si="0"/>
        <v>82</v>
      </c>
      <c r="Q9" s="120"/>
    </row>
    <row r="10" spans="1:18" ht="21">
      <c r="A10" s="119">
        <v>9</v>
      </c>
      <c r="B10" s="11" t="s">
        <v>805</v>
      </c>
      <c r="C10" s="11"/>
      <c r="D10" s="11" t="s">
        <v>168</v>
      </c>
      <c r="E10" s="11" t="s">
        <v>79</v>
      </c>
      <c r="F10" s="11"/>
      <c r="G10" s="11" t="s">
        <v>24</v>
      </c>
      <c r="H10" s="11" t="s">
        <v>53</v>
      </c>
      <c r="I10" s="11" t="s">
        <v>110</v>
      </c>
      <c r="J10" s="11" t="s">
        <v>148</v>
      </c>
      <c r="K10" s="120">
        <v>24</v>
      </c>
      <c r="L10" s="121">
        <v>33</v>
      </c>
      <c r="M10" s="120">
        <v>7</v>
      </c>
      <c r="N10" s="120">
        <v>11.5</v>
      </c>
      <c r="O10" s="120">
        <v>6.5</v>
      </c>
      <c r="P10" s="120">
        <f t="shared" si="0"/>
        <v>82</v>
      </c>
      <c r="Q10" s="120"/>
    </row>
    <row r="11" spans="1:18" ht="21">
      <c r="A11" s="119">
        <v>10</v>
      </c>
      <c r="B11" s="11" t="s">
        <v>797</v>
      </c>
      <c r="C11" s="11"/>
      <c r="D11" s="11" t="s">
        <v>168</v>
      </c>
      <c r="E11" s="11" t="s">
        <v>103</v>
      </c>
      <c r="F11" s="11"/>
      <c r="G11" s="11" t="s">
        <v>24</v>
      </c>
      <c r="H11" s="11" t="s">
        <v>127</v>
      </c>
      <c r="I11" s="11" t="s">
        <v>81</v>
      </c>
      <c r="J11" s="11" t="s">
        <v>148</v>
      </c>
      <c r="K11" s="120">
        <v>24</v>
      </c>
      <c r="L11" s="121">
        <v>33</v>
      </c>
      <c r="M11" s="120">
        <v>7</v>
      </c>
      <c r="N11" s="120">
        <v>10</v>
      </c>
      <c r="O11" s="120">
        <v>6.5</v>
      </c>
      <c r="P11" s="120">
        <f t="shared" si="0"/>
        <v>80.5</v>
      </c>
      <c r="Q11" s="120"/>
    </row>
    <row r="12" spans="1:18" ht="21">
      <c r="A12" s="119">
        <v>11</v>
      </c>
      <c r="B12" s="11" t="s">
        <v>776</v>
      </c>
      <c r="C12" s="11"/>
      <c r="D12" s="11" t="s">
        <v>168</v>
      </c>
      <c r="E12" s="11" t="s">
        <v>79</v>
      </c>
      <c r="F12" s="11"/>
      <c r="G12" s="11" t="s">
        <v>24</v>
      </c>
      <c r="H12" s="11" t="s">
        <v>80</v>
      </c>
      <c r="I12" s="11" t="s">
        <v>110</v>
      </c>
      <c r="J12" s="11" t="s">
        <v>152</v>
      </c>
      <c r="K12" s="120">
        <f>15+4.5+4.5+4</f>
        <v>28</v>
      </c>
      <c r="L12" s="121">
        <v>35</v>
      </c>
      <c r="M12" s="120">
        <v>5</v>
      </c>
      <c r="N12" s="120">
        <v>7</v>
      </c>
      <c r="O12" s="120">
        <v>4.5</v>
      </c>
      <c r="P12" s="120">
        <f t="shared" si="0"/>
        <v>79.5</v>
      </c>
      <c r="Q12" s="120"/>
    </row>
    <row r="13" spans="1:18" ht="21">
      <c r="A13" s="119">
        <v>12</v>
      </c>
      <c r="B13" s="11" t="s">
        <v>781</v>
      </c>
      <c r="C13" s="11"/>
      <c r="D13" s="11" t="s">
        <v>168</v>
      </c>
      <c r="E13" s="11" t="s">
        <v>79</v>
      </c>
      <c r="F13" s="11"/>
      <c r="G13" s="11" t="s">
        <v>24</v>
      </c>
      <c r="H13" s="11" t="s">
        <v>113</v>
      </c>
      <c r="I13" s="11" t="s">
        <v>101</v>
      </c>
      <c r="J13" s="11" t="s">
        <v>148</v>
      </c>
      <c r="K13" s="120">
        <v>28</v>
      </c>
      <c r="L13" s="121">
        <v>33.5</v>
      </c>
      <c r="M13" s="120">
        <v>5</v>
      </c>
      <c r="N13" s="120">
        <v>7</v>
      </c>
      <c r="O13" s="120">
        <v>4.5</v>
      </c>
      <c r="P13" s="120">
        <f t="shared" si="0"/>
        <v>78</v>
      </c>
      <c r="Q13" s="120"/>
    </row>
    <row r="14" spans="1:18" ht="21">
      <c r="A14" s="119">
        <v>13</v>
      </c>
      <c r="B14" s="11" t="s">
        <v>800</v>
      </c>
      <c r="C14" s="11"/>
      <c r="D14" s="11" t="s">
        <v>168</v>
      </c>
      <c r="E14" s="11" t="s">
        <v>79</v>
      </c>
      <c r="F14" s="11"/>
      <c r="G14" s="11" t="s">
        <v>24</v>
      </c>
      <c r="H14" s="11" t="s">
        <v>28</v>
      </c>
      <c r="I14" s="11" t="s">
        <v>86</v>
      </c>
      <c r="J14" s="11" t="s">
        <v>154</v>
      </c>
      <c r="K14" s="120">
        <v>24</v>
      </c>
      <c r="L14" s="121">
        <v>33</v>
      </c>
      <c r="M14" s="120">
        <v>6.5</v>
      </c>
      <c r="N14" s="120">
        <v>9</v>
      </c>
      <c r="O14" s="120">
        <v>5</v>
      </c>
      <c r="P14" s="120">
        <f t="shared" si="0"/>
        <v>77.5</v>
      </c>
      <c r="Q14" s="120"/>
    </row>
    <row r="15" spans="1:18" ht="21">
      <c r="A15" s="119">
        <v>14</v>
      </c>
      <c r="B15" s="11" t="s">
        <v>830</v>
      </c>
      <c r="C15" s="11"/>
      <c r="D15" s="11" t="s">
        <v>168</v>
      </c>
      <c r="E15" s="11" t="s">
        <v>79</v>
      </c>
      <c r="F15" s="11"/>
      <c r="G15" s="11" t="s">
        <v>24</v>
      </c>
      <c r="H15" s="11" t="s">
        <v>57</v>
      </c>
      <c r="I15" s="11" t="s">
        <v>101</v>
      </c>
      <c r="J15" s="11" t="s">
        <v>148</v>
      </c>
      <c r="K15" s="11">
        <v>22</v>
      </c>
      <c r="L15" s="31">
        <v>34</v>
      </c>
      <c r="M15" s="11">
        <v>5.5</v>
      </c>
      <c r="N15" s="11">
        <v>8.5</v>
      </c>
      <c r="O15" s="11">
        <v>5</v>
      </c>
      <c r="P15" s="120">
        <f t="shared" si="0"/>
        <v>75</v>
      </c>
      <c r="Q15" s="11"/>
    </row>
    <row r="16" spans="1:18" ht="21">
      <c r="A16" s="119">
        <v>15</v>
      </c>
      <c r="B16" s="11" t="s">
        <v>801</v>
      </c>
      <c r="C16" s="11"/>
      <c r="D16" s="11" t="s">
        <v>168</v>
      </c>
      <c r="E16" s="11" t="s">
        <v>79</v>
      </c>
      <c r="F16" s="11"/>
      <c r="G16" s="11" t="s">
        <v>24</v>
      </c>
      <c r="H16" s="11" t="s">
        <v>64</v>
      </c>
      <c r="I16" s="11" t="s">
        <v>802</v>
      </c>
      <c r="J16" s="11" t="s">
        <v>155</v>
      </c>
      <c r="K16" s="120">
        <v>24.5</v>
      </c>
      <c r="L16" s="121">
        <v>33</v>
      </c>
      <c r="M16" s="120">
        <v>5</v>
      </c>
      <c r="N16" s="120">
        <v>5.5</v>
      </c>
      <c r="O16" s="120">
        <v>4</v>
      </c>
      <c r="P16" s="120">
        <f t="shared" si="0"/>
        <v>72</v>
      </c>
      <c r="Q16" s="120" t="s">
        <v>900</v>
      </c>
    </row>
    <row r="17" spans="1:17" ht="21">
      <c r="A17" s="119">
        <v>16</v>
      </c>
      <c r="B17" s="11" t="s">
        <v>822</v>
      </c>
      <c r="C17" s="11"/>
      <c r="D17" s="11" t="s">
        <v>168</v>
      </c>
      <c r="E17" s="11" t="s">
        <v>79</v>
      </c>
      <c r="F17" s="11"/>
      <c r="G17" s="11" t="s">
        <v>24</v>
      </c>
      <c r="H17" s="11" t="s">
        <v>100</v>
      </c>
      <c r="I17" s="11" t="s">
        <v>101</v>
      </c>
      <c r="J17" s="11" t="s">
        <v>148</v>
      </c>
      <c r="K17" s="11"/>
      <c r="L17" s="31"/>
      <c r="M17" s="11">
        <v>6</v>
      </c>
      <c r="N17" s="11">
        <v>8</v>
      </c>
      <c r="O17" s="11">
        <v>5</v>
      </c>
      <c r="P17" s="120">
        <f t="shared" si="0"/>
        <v>19</v>
      </c>
      <c r="Q17" s="11" t="s">
        <v>908</v>
      </c>
    </row>
    <row r="18" spans="1:17" ht="21">
      <c r="A18" s="119">
        <v>17</v>
      </c>
      <c r="B18" s="11" t="s">
        <v>827</v>
      </c>
      <c r="C18" s="11"/>
      <c r="D18" s="11" t="s">
        <v>168</v>
      </c>
      <c r="E18" s="11" t="s">
        <v>79</v>
      </c>
      <c r="F18" s="11"/>
      <c r="G18" s="11" t="s">
        <v>24</v>
      </c>
      <c r="H18" s="11" t="s">
        <v>137</v>
      </c>
      <c r="I18" s="11" t="s">
        <v>101</v>
      </c>
      <c r="J18" s="11" t="s">
        <v>148</v>
      </c>
      <c r="K18" s="11"/>
      <c r="L18" s="31"/>
      <c r="M18" s="11"/>
      <c r="N18" s="11"/>
      <c r="O18" s="11"/>
      <c r="P18" s="120">
        <f t="shared" si="0"/>
        <v>0</v>
      </c>
      <c r="Q18" s="11"/>
    </row>
    <row r="19" spans="1:17" ht="21">
      <c r="A19" s="119">
        <v>18</v>
      </c>
      <c r="B19" s="18" t="s">
        <v>842</v>
      </c>
      <c r="C19" s="18"/>
      <c r="D19" s="18" t="s">
        <v>168</v>
      </c>
      <c r="E19" s="18" t="s">
        <v>79</v>
      </c>
      <c r="F19" s="18"/>
      <c r="G19" s="18" t="s">
        <v>26</v>
      </c>
      <c r="H19" s="18" t="s">
        <v>75</v>
      </c>
      <c r="I19" s="18"/>
      <c r="J19" s="18" t="s">
        <v>151</v>
      </c>
      <c r="K19" s="18">
        <f>15+4+4.5+4.5</f>
        <v>28</v>
      </c>
      <c r="L19" s="117">
        <v>35</v>
      </c>
      <c r="M19" s="18">
        <v>7</v>
      </c>
      <c r="N19" s="18">
        <v>12</v>
      </c>
      <c r="O19" s="18">
        <v>9</v>
      </c>
      <c r="P19" s="83">
        <f t="shared" si="0"/>
        <v>91</v>
      </c>
      <c r="Q19" s="18"/>
    </row>
    <row r="20" spans="1:17" ht="21">
      <c r="A20" s="119">
        <v>19</v>
      </c>
      <c r="B20" s="18" t="s">
        <v>806</v>
      </c>
      <c r="C20" s="18"/>
      <c r="D20" s="18" t="s">
        <v>168</v>
      </c>
      <c r="E20" s="18" t="s">
        <v>79</v>
      </c>
      <c r="F20" s="18"/>
      <c r="G20" s="18" t="s">
        <v>26</v>
      </c>
      <c r="H20" s="18" t="s">
        <v>53</v>
      </c>
      <c r="I20" s="18" t="s">
        <v>81</v>
      </c>
      <c r="J20" s="18" t="s">
        <v>148</v>
      </c>
      <c r="K20" s="83">
        <v>27.5</v>
      </c>
      <c r="L20" s="122">
        <v>35</v>
      </c>
      <c r="M20" s="83">
        <v>7</v>
      </c>
      <c r="N20" s="83">
        <v>10.5</v>
      </c>
      <c r="O20" s="83">
        <v>7</v>
      </c>
      <c r="P20" s="83">
        <f t="shared" si="0"/>
        <v>87</v>
      </c>
      <c r="Q20" s="83"/>
    </row>
    <row r="21" spans="1:17" ht="21">
      <c r="A21" s="119">
        <v>20</v>
      </c>
      <c r="B21" s="18" t="s">
        <v>798</v>
      </c>
      <c r="C21" s="18"/>
      <c r="D21" s="18" t="s">
        <v>168</v>
      </c>
      <c r="E21" s="18" t="s">
        <v>79</v>
      </c>
      <c r="F21" s="18"/>
      <c r="G21" s="18" t="s">
        <v>26</v>
      </c>
      <c r="H21" s="18" t="s">
        <v>65</v>
      </c>
      <c r="I21" s="18" t="s">
        <v>81</v>
      </c>
      <c r="J21" s="18" t="s">
        <v>148</v>
      </c>
      <c r="K21" s="83">
        <v>26</v>
      </c>
      <c r="L21" s="122">
        <v>35</v>
      </c>
      <c r="M21" s="83">
        <v>7</v>
      </c>
      <c r="N21" s="83">
        <v>11</v>
      </c>
      <c r="O21" s="83">
        <v>7</v>
      </c>
      <c r="P21" s="83">
        <f t="shared" si="0"/>
        <v>86</v>
      </c>
      <c r="Q21" s="83"/>
    </row>
    <row r="22" spans="1:17" ht="21">
      <c r="A22" s="119">
        <v>21</v>
      </c>
      <c r="B22" s="18" t="s">
        <v>831</v>
      </c>
      <c r="C22" s="18"/>
      <c r="D22" s="18" t="s">
        <v>168</v>
      </c>
      <c r="E22" s="18" t="s">
        <v>79</v>
      </c>
      <c r="F22" s="18"/>
      <c r="G22" s="18" t="s">
        <v>26</v>
      </c>
      <c r="H22" s="18" t="s">
        <v>57</v>
      </c>
      <c r="I22" s="18" t="s">
        <v>101</v>
      </c>
      <c r="J22" s="18" t="s">
        <v>148</v>
      </c>
      <c r="K22" s="18">
        <v>28.5</v>
      </c>
      <c r="L22" s="117">
        <v>34</v>
      </c>
      <c r="M22" s="18">
        <v>6.5</v>
      </c>
      <c r="N22" s="18">
        <v>9</v>
      </c>
      <c r="O22" s="18">
        <v>7</v>
      </c>
      <c r="P22" s="83">
        <f t="shared" si="0"/>
        <v>85</v>
      </c>
      <c r="Q22" s="18"/>
    </row>
    <row r="23" spans="1:17" ht="21">
      <c r="A23" s="119">
        <v>22</v>
      </c>
      <c r="B23" s="18" t="s">
        <v>838</v>
      </c>
      <c r="C23" s="18"/>
      <c r="D23" s="18" t="s">
        <v>168</v>
      </c>
      <c r="E23" s="18" t="s">
        <v>79</v>
      </c>
      <c r="F23" s="18"/>
      <c r="G23" s="18" t="s">
        <v>26</v>
      </c>
      <c r="H23" s="18" t="s">
        <v>40</v>
      </c>
      <c r="I23" s="18" t="s">
        <v>83</v>
      </c>
      <c r="J23" s="18" t="s">
        <v>148</v>
      </c>
      <c r="K23" s="18">
        <f>15+7+3</f>
        <v>25</v>
      </c>
      <c r="L23" s="117">
        <v>34</v>
      </c>
      <c r="M23" s="18">
        <v>6.5</v>
      </c>
      <c r="N23" s="18">
        <v>12</v>
      </c>
      <c r="O23" s="18">
        <v>7</v>
      </c>
      <c r="P23" s="83">
        <f t="shared" si="0"/>
        <v>84.5</v>
      </c>
      <c r="Q23" s="18"/>
    </row>
    <row r="24" spans="1:17" ht="21">
      <c r="A24" s="119">
        <v>23</v>
      </c>
      <c r="B24" s="18" t="s">
        <v>787</v>
      </c>
      <c r="C24" s="18"/>
      <c r="D24" s="18" t="s">
        <v>168</v>
      </c>
      <c r="E24" s="18" t="s">
        <v>79</v>
      </c>
      <c r="F24" s="18"/>
      <c r="G24" s="18" t="s">
        <v>26</v>
      </c>
      <c r="H24" s="18" t="s">
        <v>182</v>
      </c>
      <c r="I24" s="18" t="s">
        <v>83</v>
      </c>
      <c r="J24" s="18" t="s">
        <v>148</v>
      </c>
      <c r="K24" s="83">
        <v>25</v>
      </c>
      <c r="L24" s="122">
        <v>35</v>
      </c>
      <c r="M24" s="83">
        <v>7</v>
      </c>
      <c r="N24" s="83">
        <v>9</v>
      </c>
      <c r="O24" s="83">
        <v>7</v>
      </c>
      <c r="P24" s="83">
        <f t="shared" si="0"/>
        <v>83</v>
      </c>
      <c r="Q24" s="83"/>
    </row>
    <row r="25" spans="1:17" ht="21">
      <c r="A25" s="119">
        <v>24</v>
      </c>
      <c r="B25" s="18" t="s">
        <v>832</v>
      </c>
      <c r="C25" s="18"/>
      <c r="D25" s="18" t="s">
        <v>168</v>
      </c>
      <c r="E25" s="18" t="s">
        <v>79</v>
      </c>
      <c r="F25" s="18"/>
      <c r="G25" s="18" t="s">
        <v>26</v>
      </c>
      <c r="H25" s="18" t="s">
        <v>58</v>
      </c>
      <c r="I25" s="18" t="s">
        <v>81</v>
      </c>
      <c r="J25" s="18" t="s">
        <v>148</v>
      </c>
      <c r="K25" s="18">
        <v>27.5</v>
      </c>
      <c r="L25" s="117">
        <v>34</v>
      </c>
      <c r="M25" s="18">
        <v>6</v>
      </c>
      <c r="N25" s="18">
        <v>8.5</v>
      </c>
      <c r="O25" s="18">
        <v>7</v>
      </c>
      <c r="P25" s="83">
        <f t="shared" si="0"/>
        <v>83</v>
      </c>
      <c r="Q25" s="18" t="s">
        <v>907</v>
      </c>
    </row>
    <row r="26" spans="1:17" ht="21">
      <c r="A26" s="119">
        <v>25</v>
      </c>
      <c r="B26" s="18" t="s">
        <v>778</v>
      </c>
      <c r="C26" s="18"/>
      <c r="D26" s="18" t="s">
        <v>168</v>
      </c>
      <c r="E26" s="18" t="s">
        <v>79</v>
      </c>
      <c r="F26" s="18"/>
      <c r="G26" s="18" t="s">
        <v>26</v>
      </c>
      <c r="H26" s="18" t="s">
        <v>80</v>
      </c>
      <c r="I26" s="18"/>
      <c r="J26" s="18" t="s">
        <v>152</v>
      </c>
      <c r="K26" s="83">
        <f>15+3.5+4+3</f>
        <v>25.5</v>
      </c>
      <c r="L26" s="122">
        <v>35</v>
      </c>
      <c r="M26" s="83">
        <v>6.5</v>
      </c>
      <c r="N26" s="83">
        <v>9.5</v>
      </c>
      <c r="O26" s="83">
        <v>6</v>
      </c>
      <c r="P26" s="83">
        <f t="shared" si="0"/>
        <v>82.5</v>
      </c>
      <c r="Q26" s="83"/>
    </row>
    <row r="27" spans="1:17" ht="21">
      <c r="A27" s="119">
        <v>26</v>
      </c>
      <c r="B27" s="18" t="s">
        <v>799</v>
      </c>
      <c r="C27" s="18"/>
      <c r="D27" s="18" t="s">
        <v>168</v>
      </c>
      <c r="E27" s="18" t="s">
        <v>79</v>
      </c>
      <c r="F27" s="18"/>
      <c r="G27" s="18" t="s">
        <v>26</v>
      </c>
      <c r="H27" s="18" t="s">
        <v>65</v>
      </c>
      <c r="I27" s="18" t="s">
        <v>81</v>
      </c>
      <c r="J27" s="18" t="s">
        <v>148</v>
      </c>
      <c r="K27" s="83">
        <v>26.5</v>
      </c>
      <c r="L27" s="122">
        <v>34</v>
      </c>
      <c r="M27" s="83">
        <v>6</v>
      </c>
      <c r="N27" s="83">
        <v>10</v>
      </c>
      <c r="O27" s="83">
        <v>5.5</v>
      </c>
      <c r="P27" s="83">
        <f t="shared" si="0"/>
        <v>82</v>
      </c>
      <c r="Q27" s="83"/>
    </row>
    <row r="28" spans="1:17" ht="21">
      <c r="A28" s="119">
        <v>27</v>
      </c>
      <c r="B28" s="18" t="s">
        <v>825</v>
      </c>
      <c r="C28" s="18"/>
      <c r="D28" s="18" t="s">
        <v>168</v>
      </c>
      <c r="E28" s="18" t="s">
        <v>79</v>
      </c>
      <c r="F28" s="18"/>
      <c r="G28" s="18" t="s">
        <v>26</v>
      </c>
      <c r="H28" s="18" t="s">
        <v>100</v>
      </c>
      <c r="I28" s="18" t="s">
        <v>83</v>
      </c>
      <c r="J28" s="18" t="s">
        <v>148</v>
      </c>
      <c r="K28" s="18">
        <v>26</v>
      </c>
      <c r="L28" s="117">
        <v>34</v>
      </c>
      <c r="M28" s="18">
        <v>7.5</v>
      </c>
      <c r="N28" s="18">
        <v>8</v>
      </c>
      <c r="O28" s="18">
        <v>5.5</v>
      </c>
      <c r="P28" s="83">
        <f t="shared" si="0"/>
        <v>81</v>
      </c>
      <c r="Q28" s="18"/>
    </row>
    <row r="29" spans="1:17" ht="21">
      <c r="A29" s="119">
        <v>28</v>
      </c>
      <c r="B29" s="18" t="s">
        <v>828</v>
      </c>
      <c r="C29" s="18"/>
      <c r="D29" s="18" t="s">
        <v>168</v>
      </c>
      <c r="E29" s="18" t="s">
        <v>79</v>
      </c>
      <c r="F29" s="18"/>
      <c r="G29" s="18" t="s">
        <v>26</v>
      </c>
      <c r="H29" s="18" t="s">
        <v>137</v>
      </c>
      <c r="I29" s="18" t="s">
        <v>83</v>
      </c>
      <c r="J29" s="18" t="s">
        <v>148</v>
      </c>
      <c r="K29" s="18">
        <v>25.5</v>
      </c>
      <c r="L29" s="117">
        <v>34</v>
      </c>
      <c r="M29" s="18">
        <v>5</v>
      </c>
      <c r="N29" s="18">
        <v>10.5</v>
      </c>
      <c r="O29" s="18">
        <v>5</v>
      </c>
      <c r="P29" s="83">
        <f t="shared" si="0"/>
        <v>80</v>
      </c>
      <c r="Q29" s="18"/>
    </row>
    <row r="30" spans="1:17" ht="21">
      <c r="A30" s="119">
        <v>29</v>
      </c>
      <c r="B30" s="18" t="s">
        <v>795</v>
      </c>
      <c r="C30" s="18"/>
      <c r="D30" s="18" t="s">
        <v>168</v>
      </c>
      <c r="E30" s="18" t="s">
        <v>79</v>
      </c>
      <c r="F30" s="18"/>
      <c r="G30" s="18" t="s">
        <v>26</v>
      </c>
      <c r="H30" s="18" t="s">
        <v>69</v>
      </c>
      <c r="I30" s="18" t="s">
        <v>363</v>
      </c>
      <c r="J30" s="18" t="s">
        <v>151</v>
      </c>
      <c r="K30" s="83">
        <v>26</v>
      </c>
      <c r="L30" s="122">
        <v>35</v>
      </c>
      <c r="M30" s="83">
        <v>5.5</v>
      </c>
      <c r="N30" s="83">
        <v>7.5</v>
      </c>
      <c r="O30" s="83">
        <v>5.5</v>
      </c>
      <c r="P30" s="83">
        <f t="shared" si="0"/>
        <v>79.5</v>
      </c>
      <c r="Q30" s="83"/>
    </row>
    <row r="31" spans="1:17" ht="21">
      <c r="A31" s="119">
        <v>30</v>
      </c>
      <c r="B31" s="18" t="s">
        <v>809</v>
      </c>
      <c r="C31" s="18"/>
      <c r="D31" s="18" t="s">
        <v>168</v>
      </c>
      <c r="E31" s="18" t="s">
        <v>79</v>
      </c>
      <c r="F31" s="18"/>
      <c r="G31" s="18" t="s">
        <v>26</v>
      </c>
      <c r="H31" s="18" t="s">
        <v>61</v>
      </c>
      <c r="I31" s="18" t="s">
        <v>101</v>
      </c>
      <c r="J31" s="18" t="s">
        <v>148</v>
      </c>
      <c r="K31" s="83">
        <v>25.5</v>
      </c>
      <c r="L31" s="122">
        <v>35</v>
      </c>
      <c r="M31" s="83">
        <v>5.5</v>
      </c>
      <c r="N31" s="83">
        <v>8</v>
      </c>
      <c r="O31" s="83">
        <v>5</v>
      </c>
      <c r="P31" s="83">
        <f t="shared" si="0"/>
        <v>79</v>
      </c>
      <c r="Q31" s="83"/>
    </row>
    <row r="32" spans="1:17" ht="21">
      <c r="A32" s="119">
        <v>31</v>
      </c>
      <c r="B32" s="18" t="s">
        <v>813</v>
      </c>
      <c r="C32" s="18"/>
      <c r="D32" s="18" t="s">
        <v>168</v>
      </c>
      <c r="E32" s="18" t="s">
        <v>79</v>
      </c>
      <c r="F32" s="18"/>
      <c r="G32" s="18" t="s">
        <v>26</v>
      </c>
      <c r="H32" s="18" t="s">
        <v>135</v>
      </c>
      <c r="I32" s="18" t="s">
        <v>83</v>
      </c>
      <c r="J32" s="18" t="s">
        <v>148</v>
      </c>
      <c r="K32" s="83">
        <v>25</v>
      </c>
      <c r="L32" s="122">
        <v>33</v>
      </c>
      <c r="M32" s="83">
        <v>6</v>
      </c>
      <c r="N32" s="83">
        <v>8</v>
      </c>
      <c r="O32" s="83">
        <v>6</v>
      </c>
      <c r="P32" s="83">
        <f t="shared" si="0"/>
        <v>78</v>
      </c>
      <c r="Q32" s="83"/>
    </row>
    <row r="33" spans="1:17" ht="21">
      <c r="A33" s="119">
        <v>32</v>
      </c>
      <c r="B33" s="18" t="s">
        <v>839</v>
      </c>
      <c r="C33" s="18"/>
      <c r="D33" s="18" t="s">
        <v>168</v>
      </c>
      <c r="E33" s="18" t="s">
        <v>103</v>
      </c>
      <c r="F33" s="18"/>
      <c r="G33" s="18" t="s">
        <v>67</v>
      </c>
      <c r="H33" s="18" t="s">
        <v>105</v>
      </c>
      <c r="I33" s="18" t="s">
        <v>88</v>
      </c>
      <c r="J33" s="18" t="s">
        <v>152</v>
      </c>
      <c r="K33" s="18">
        <v>26</v>
      </c>
      <c r="L33" s="117">
        <v>33</v>
      </c>
      <c r="M33" s="18">
        <v>5</v>
      </c>
      <c r="N33" s="18">
        <v>7</v>
      </c>
      <c r="O33" s="18">
        <v>4</v>
      </c>
      <c r="P33" s="83">
        <f t="shared" si="0"/>
        <v>75</v>
      </c>
      <c r="Q33" s="18" t="s">
        <v>906</v>
      </c>
    </row>
    <row r="34" spans="1:17" ht="21">
      <c r="A34" s="119">
        <v>33</v>
      </c>
      <c r="B34" s="18" t="s">
        <v>785</v>
      </c>
      <c r="C34" s="18"/>
      <c r="D34" s="18" t="s">
        <v>168</v>
      </c>
      <c r="E34" s="18" t="s">
        <v>76</v>
      </c>
      <c r="F34" s="18"/>
      <c r="G34" s="18" t="s">
        <v>26</v>
      </c>
      <c r="H34" s="18" t="s">
        <v>114</v>
      </c>
      <c r="I34" s="18" t="s">
        <v>149</v>
      </c>
      <c r="J34" s="18" t="s">
        <v>148</v>
      </c>
      <c r="K34" s="83"/>
      <c r="L34" s="83"/>
      <c r="M34" s="83"/>
      <c r="N34" s="83"/>
      <c r="O34" s="83"/>
      <c r="P34" s="83">
        <f t="shared" ref="P34:P65" si="1">SUM(K34:O34)</f>
        <v>0</v>
      </c>
      <c r="Q34" s="83"/>
    </row>
    <row r="35" spans="1:17" ht="21">
      <c r="A35" s="119">
        <v>34</v>
      </c>
      <c r="B35" s="25" t="s">
        <v>807</v>
      </c>
      <c r="C35" s="25"/>
      <c r="D35" s="25" t="s">
        <v>168</v>
      </c>
      <c r="E35" s="25" t="s">
        <v>79</v>
      </c>
      <c r="F35" s="25"/>
      <c r="G35" s="25" t="s">
        <v>104</v>
      </c>
      <c r="H35" s="25" t="s">
        <v>130</v>
      </c>
      <c r="I35" s="25" t="s">
        <v>81</v>
      </c>
      <c r="J35" s="25" t="s">
        <v>151</v>
      </c>
      <c r="K35" s="84">
        <v>29.5</v>
      </c>
      <c r="L35" s="84">
        <v>34</v>
      </c>
      <c r="M35" s="84">
        <v>8.5</v>
      </c>
      <c r="N35" s="84">
        <v>13.5</v>
      </c>
      <c r="O35" s="84">
        <v>8.5</v>
      </c>
      <c r="P35" s="84">
        <f t="shared" si="1"/>
        <v>94</v>
      </c>
      <c r="Q35" s="84"/>
    </row>
    <row r="36" spans="1:17" ht="21">
      <c r="A36" s="119">
        <v>35</v>
      </c>
      <c r="B36" s="25" t="s">
        <v>836</v>
      </c>
      <c r="C36" s="25"/>
      <c r="D36" s="25" t="s">
        <v>168</v>
      </c>
      <c r="E36" s="25" t="s">
        <v>79</v>
      </c>
      <c r="F36" s="25"/>
      <c r="G36" s="25" t="s">
        <v>25</v>
      </c>
      <c r="H36" s="25" t="s">
        <v>40</v>
      </c>
      <c r="I36" s="25" t="s">
        <v>86</v>
      </c>
      <c r="J36" s="25" t="s">
        <v>148</v>
      </c>
      <c r="K36" s="25">
        <f>15+4.5+5+5</f>
        <v>29.5</v>
      </c>
      <c r="L36" s="25">
        <v>35</v>
      </c>
      <c r="M36" s="25">
        <v>8</v>
      </c>
      <c r="N36" s="25">
        <v>12.5</v>
      </c>
      <c r="O36" s="25">
        <v>8.5</v>
      </c>
      <c r="P36" s="84">
        <f t="shared" si="1"/>
        <v>93.5</v>
      </c>
      <c r="Q36" s="25"/>
    </row>
    <row r="37" spans="1:17" ht="21">
      <c r="A37" s="119">
        <v>36</v>
      </c>
      <c r="B37" s="25" t="s">
        <v>803</v>
      </c>
      <c r="C37" s="25"/>
      <c r="D37" s="25" t="s">
        <v>168</v>
      </c>
      <c r="E37" s="25" t="s">
        <v>79</v>
      </c>
      <c r="F37" s="25"/>
      <c r="G37" s="25" t="s">
        <v>25</v>
      </c>
      <c r="H37" s="25" t="s">
        <v>53</v>
      </c>
      <c r="I37" s="25" t="s">
        <v>86</v>
      </c>
      <c r="J37" s="25" t="s">
        <v>148</v>
      </c>
      <c r="K37" s="84">
        <v>28</v>
      </c>
      <c r="L37" s="84">
        <v>35</v>
      </c>
      <c r="M37" s="84">
        <v>8</v>
      </c>
      <c r="N37" s="84">
        <v>11.5</v>
      </c>
      <c r="O37" s="84">
        <v>8</v>
      </c>
      <c r="P37" s="84">
        <f t="shared" si="1"/>
        <v>90.5</v>
      </c>
      <c r="Q37" s="84"/>
    </row>
    <row r="38" spans="1:17" ht="21">
      <c r="A38" s="119">
        <v>37</v>
      </c>
      <c r="B38" s="25" t="s">
        <v>819</v>
      </c>
      <c r="C38" s="25"/>
      <c r="D38" s="25" t="s">
        <v>168</v>
      </c>
      <c r="E38" s="25" t="s">
        <v>79</v>
      </c>
      <c r="F38" s="25"/>
      <c r="G38" s="25" t="s">
        <v>25</v>
      </c>
      <c r="H38" s="25" t="s">
        <v>99</v>
      </c>
      <c r="I38" s="25" t="s">
        <v>121</v>
      </c>
      <c r="J38" s="25" t="s">
        <v>148</v>
      </c>
      <c r="K38" s="84">
        <v>28.5</v>
      </c>
      <c r="L38" s="84">
        <v>34.5</v>
      </c>
      <c r="M38" s="84">
        <v>7.5</v>
      </c>
      <c r="N38" s="84">
        <v>12</v>
      </c>
      <c r="O38" s="84">
        <v>8</v>
      </c>
      <c r="P38" s="84">
        <f t="shared" si="1"/>
        <v>90.5</v>
      </c>
      <c r="Q38" s="25"/>
    </row>
    <row r="39" spans="1:17" ht="21">
      <c r="A39" s="119">
        <v>38</v>
      </c>
      <c r="B39" s="25" t="s">
        <v>834</v>
      </c>
      <c r="C39" s="25"/>
      <c r="D39" s="25" t="s">
        <v>168</v>
      </c>
      <c r="E39" s="25" t="s">
        <v>79</v>
      </c>
      <c r="F39" s="25"/>
      <c r="G39" s="25" t="s">
        <v>25</v>
      </c>
      <c r="H39" s="25" t="s">
        <v>58</v>
      </c>
      <c r="I39" s="25" t="s">
        <v>86</v>
      </c>
      <c r="J39" s="25" t="s">
        <v>148</v>
      </c>
      <c r="K39" s="25">
        <v>28</v>
      </c>
      <c r="L39" s="25">
        <v>35</v>
      </c>
      <c r="M39" s="25">
        <v>7.5</v>
      </c>
      <c r="N39" s="25">
        <v>12</v>
      </c>
      <c r="O39" s="25">
        <v>8</v>
      </c>
      <c r="P39" s="84">
        <f t="shared" si="1"/>
        <v>90.5</v>
      </c>
      <c r="Q39" s="25"/>
    </row>
    <row r="40" spans="1:17" ht="21">
      <c r="A40" s="119">
        <v>39</v>
      </c>
      <c r="B40" s="25" t="s">
        <v>788</v>
      </c>
      <c r="C40" s="25"/>
      <c r="D40" s="25" t="s">
        <v>168</v>
      </c>
      <c r="E40" s="25" t="s">
        <v>79</v>
      </c>
      <c r="F40" s="25"/>
      <c r="G40" s="25" t="s">
        <v>25</v>
      </c>
      <c r="H40" s="25" t="s">
        <v>87</v>
      </c>
      <c r="I40" s="25" t="s">
        <v>81</v>
      </c>
      <c r="J40" s="25" t="s">
        <v>148</v>
      </c>
      <c r="K40" s="84">
        <f>15+4.5+5+4.5</f>
        <v>29</v>
      </c>
      <c r="L40" s="84">
        <v>35</v>
      </c>
      <c r="M40" s="84">
        <v>7.5</v>
      </c>
      <c r="N40" s="84">
        <v>12</v>
      </c>
      <c r="O40" s="84">
        <v>7</v>
      </c>
      <c r="P40" s="84">
        <f t="shared" si="1"/>
        <v>90.5</v>
      </c>
      <c r="Q40" s="84"/>
    </row>
    <row r="41" spans="1:17" ht="21">
      <c r="A41" s="119">
        <v>40</v>
      </c>
      <c r="B41" s="25" t="s">
        <v>794</v>
      </c>
      <c r="C41" s="25"/>
      <c r="D41" s="25" t="s">
        <v>168</v>
      </c>
      <c r="E41" s="25" t="s">
        <v>79</v>
      </c>
      <c r="F41" s="25"/>
      <c r="G41" s="25" t="s">
        <v>25</v>
      </c>
      <c r="H41" s="25" t="s">
        <v>120</v>
      </c>
      <c r="I41" s="25" t="s">
        <v>121</v>
      </c>
      <c r="J41" s="25" t="s">
        <v>148</v>
      </c>
      <c r="K41" s="84">
        <f>14.5+3.5+3.5+3.5</f>
        <v>25</v>
      </c>
      <c r="L41" s="84">
        <v>35</v>
      </c>
      <c r="M41" s="84">
        <v>8.5</v>
      </c>
      <c r="N41" s="84">
        <v>12</v>
      </c>
      <c r="O41" s="84">
        <v>8.5</v>
      </c>
      <c r="P41" s="84">
        <f t="shared" si="1"/>
        <v>89</v>
      </c>
      <c r="Q41" s="84"/>
    </row>
    <row r="42" spans="1:17" ht="21">
      <c r="A42" s="119">
        <v>41</v>
      </c>
      <c r="B42" s="25" t="s">
        <v>814</v>
      </c>
      <c r="C42" s="25"/>
      <c r="D42" s="25" t="s">
        <v>168</v>
      </c>
      <c r="E42" s="25" t="s">
        <v>79</v>
      </c>
      <c r="F42" s="25"/>
      <c r="G42" s="25" t="s">
        <v>259</v>
      </c>
      <c r="H42" s="25" t="s">
        <v>59</v>
      </c>
      <c r="I42" s="25" t="s">
        <v>815</v>
      </c>
      <c r="J42" s="25" t="s">
        <v>152</v>
      </c>
      <c r="K42" s="84">
        <v>27.5</v>
      </c>
      <c r="L42" s="84">
        <v>34</v>
      </c>
      <c r="M42" s="84">
        <v>7</v>
      </c>
      <c r="N42" s="84">
        <v>11.5</v>
      </c>
      <c r="O42" s="84">
        <v>8</v>
      </c>
      <c r="P42" s="84">
        <f t="shared" si="1"/>
        <v>88</v>
      </c>
      <c r="Q42" s="84"/>
    </row>
    <row r="43" spans="1:17" ht="21">
      <c r="A43" s="119">
        <v>42</v>
      </c>
      <c r="B43" s="25" t="s">
        <v>782</v>
      </c>
      <c r="C43" s="25"/>
      <c r="D43" s="25" t="s">
        <v>168</v>
      </c>
      <c r="E43" s="25" t="s">
        <v>79</v>
      </c>
      <c r="F43" s="25"/>
      <c r="G43" s="25" t="s">
        <v>25</v>
      </c>
      <c r="H43" s="25" t="s">
        <v>113</v>
      </c>
      <c r="I43" s="25" t="s">
        <v>83</v>
      </c>
      <c r="J43" s="25" t="s">
        <v>148</v>
      </c>
      <c r="K43" s="84">
        <v>29</v>
      </c>
      <c r="L43" s="84">
        <v>34</v>
      </c>
      <c r="M43" s="84">
        <v>7</v>
      </c>
      <c r="N43" s="84">
        <v>11.5</v>
      </c>
      <c r="O43" s="84">
        <v>6.5</v>
      </c>
      <c r="P43" s="84">
        <f t="shared" si="1"/>
        <v>88</v>
      </c>
      <c r="Q43" s="84"/>
    </row>
    <row r="44" spans="1:17" ht="21">
      <c r="A44" s="119">
        <v>43</v>
      </c>
      <c r="B44" s="25" t="s">
        <v>816</v>
      </c>
      <c r="C44" s="25"/>
      <c r="D44" s="25" t="s">
        <v>168</v>
      </c>
      <c r="E44" s="25" t="s">
        <v>79</v>
      </c>
      <c r="F44" s="25"/>
      <c r="G44" s="25" t="s">
        <v>25</v>
      </c>
      <c r="H44" s="25" t="s">
        <v>29</v>
      </c>
      <c r="I44" s="25" t="s">
        <v>102</v>
      </c>
      <c r="J44" s="25" t="s">
        <v>148</v>
      </c>
      <c r="K44" s="84">
        <v>29</v>
      </c>
      <c r="L44" s="84">
        <v>34</v>
      </c>
      <c r="M44" s="84">
        <v>6.5</v>
      </c>
      <c r="N44" s="84">
        <v>11</v>
      </c>
      <c r="O44" s="84">
        <v>6.5</v>
      </c>
      <c r="P44" s="84">
        <f t="shared" si="1"/>
        <v>87</v>
      </c>
      <c r="Q44" s="84"/>
    </row>
    <row r="45" spans="1:17" ht="21">
      <c r="A45" s="119">
        <v>44</v>
      </c>
      <c r="B45" s="25" t="s">
        <v>783</v>
      </c>
      <c r="C45" s="25"/>
      <c r="D45" s="25" t="s">
        <v>168</v>
      </c>
      <c r="E45" s="25" t="s">
        <v>79</v>
      </c>
      <c r="F45" s="25"/>
      <c r="G45" s="25" t="s">
        <v>25</v>
      </c>
      <c r="H45" s="25" t="s">
        <v>113</v>
      </c>
      <c r="I45" s="25" t="s">
        <v>101</v>
      </c>
      <c r="J45" s="25" t="s">
        <v>148</v>
      </c>
      <c r="K45" s="84">
        <v>28</v>
      </c>
      <c r="L45" s="84">
        <v>34</v>
      </c>
      <c r="M45" s="84">
        <v>7.5</v>
      </c>
      <c r="N45" s="84">
        <v>9.5</v>
      </c>
      <c r="O45" s="84">
        <v>7</v>
      </c>
      <c r="P45" s="84">
        <f t="shared" si="1"/>
        <v>86</v>
      </c>
      <c r="Q45" s="84"/>
    </row>
    <row r="46" spans="1:17" ht="21">
      <c r="A46" s="119">
        <v>45</v>
      </c>
      <c r="B46" s="25" t="s">
        <v>804</v>
      </c>
      <c r="C46" s="25"/>
      <c r="D46" s="25" t="s">
        <v>168</v>
      </c>
      <c r="E46" s="25" t="s">
        <v>79</v>
      </c>
      <c r="F46" s="25"/>
      <c r="G46" s="25" t="s">
        <v>25</v>
      </c>
      <c r="H46" s="25" t="s">
        <v>53</v>
      </c>
      <c r="I46" s="25" t="s">
        <v>119</v>
      </c>
      <c r="J46" s="25" t="s">
        <v>148</v>
      </c>
      <c r="K46" s="84">
        <v>27.5</v>
      </c>
      <c r="L46" s="84">
        <v>35</v>
      </c>
      <c r="M46" s="84">
        <v>6.5</v>
      </c>
      <c r="N46" s="84">
        <v>9.5</v>
      </c>
      <c r="O46" s="84">
        <v>7</v>
      </c>
      <c r="P46" s="84">
        <f t="shared" si="1"/>
        <v>85.5</v>
      </c>
      <c r="Q46" s="84"/>
    </row>
    <row r="47" spans="1:17" ht="21">
      <c r="A47" s="119">
        <v>46</v>
      </c>
      <c r="B47" s="25" t="s">
        <v>823</v>
      </c>
      <c r="C47" s="25"/>
      <c r="D47" s="25" t="s">
        <v>168</v>
      </c>
      <c r="E47" s="25" t="s">
        <v>79</v>
      </c>
      <c r="F47" s="25"/>
      <c r="G47" s="25" t="s">
        <v>25</v>
      </c>
      <c r="H47" s="25" t="s">
        <v>100</v>
      </c>
      <c r="I47" s="25" t="s">
        <v>86</v>
      </c>
      <c r="J47" s="25" t="s">
        <v>148</v>
      </c>
      <c r="K47" s="25">
        <v>29</v>
      </c>
      <c r="L47" s="25">
        <v>34.5</v>
      </c>
      <c r="M47" s="25">
        <v>6</v>
      </c>
      <c r="N47" s="25">
        <v>9</v>
      </c>
      <c r="O47" s="25">
        <v>6.5</v>
      </c>
      <c r="P47" s="84">
        <f t="shared" si="1"/>
        <v>85</v>
      </c>
      <c r="Q47" s="25"/>
    </row>
    <row r="48" spans="1:17" ht="21">
      <c r="A48" s="119">
        <v>47</v>
      </c>
      <c r="B48" s="25" t="s">
        <v>808</v>
      </c>
      <c r="C48" s="25"/>
      <c r="D48" s="25" t="s">
        <v>168</v>
      </c>
      <c r="E48" s="25" t="s">
        <v>79</v>
      </c>
      <c r="F48" s="25"/>
      <c r="G48" s="25" t="s">
        <v>25</v>
      </c>
      <c r="H48" s="25" t="s">
        <v>70</v>
      </c>
      <c r="I48" s="25" t="s">
        <v>83</v>
      </c>
      <c r="J48" s="25" t="s">
        <v>151</v>
      </c>
      <c r="K48" s="84">
        <v>28.5</v>
      </c>
      <c r="L48" s="84">
        <v>35</v>
      </c>
      <c r="M48" s="84">
        <v>6.5</v>
      </c>
      <c r="N48" s="84">
        <v>9</v>
      </c>
      <c r="O48" s="84">
        <v>5.5</v>
      </c>
      <c r="P48" s="84">
        <f t="shared" si="1"/>
        <v>84.5</v>
      </c>
      <c r="Q48" s="84"/>
    </row>
    <row r="49" spans="1:17" ht="21">
      <c r="A49" s="119">
        <v>48</v>
      </c>
      <c r="B49" s="25" t="s">
        <v>790</v>
      </c>
      <c r="C49" s="25"/>
      <c r="D49" s="25" t="s">
        <v>168</v>
      </c>
      <c r="E49" s="25" t="s">
        <v>79</v>
      </c>
      <c r="F49" s="25"/>
      <c r="G49" s="25" t="s">
        <v>25</v>
      </c>
      <c r="H49" s="25" t="s">
        <v>150</v>
      </c>
      <c r="I49" s="25" t="s">
        <v>83</v>
      </c>
      <c r="J49" s="25" t="s">
        <v>148</v>
      </c>
      <c r="K49" s="84">
        <v>28</v>
      </c>
      <c r="L49" s="84">
        <v>33.5</v>
      </c>
      <c r="M49" s="84">
        <v>6.5</v>
      </c>
      <c r="N49" s="84">
        <v>10</v>
      </c>
      <c r="O49" s="84">
        <v>6</v>
      </c>
      <c r="P49" s="84">
        <f t="shared" si="1"/>
        <v>84</v>
      </c>
      <c r="Q49" s="84"/>
    </row>
    <row r="50" spans="1:17" ht="21">
      <c r="A50" s="119">
        <v>49</v>
      </c>
      <c r="B50" s="25" t="s">
        <v>792</v>
      </c>
      <c r="C50" s="25"/>
      <c r="D50" s="25" t="s">
        <v>168</v>
      </c>
      <c r="E50" s="25" t="s">
        <v>79</v>
      </c>
      <c r="F50" s="25"/>
      <c r="G50" s="25" t="s">
        <v>25</v>
      </c>
      <c r="H50" s="25" t="s">
        <v>120</v>
      </c>
      <c r="I50" s="25" t="s">
        <v>793</v>
      </c>
      <c r="J50" s="25" t="s">
        <v>148</v>
      </c>
      <c r="K50" s="84">
        <f>15+8+4.5</f>
        <v>27.5</v>
      </c>
      <c r="L50" s="84">
        <v>35</v>
      </c>
      <c r="M50" s="84">
        <v>6</v>
      </c>
      <c r="N50" s="84">
        <v>9.5</v>
      </c>
      <c r="O50" s="84">
        <v>6</v>
      </c>
      <c r="P50" s="84">
        <f t="shared" si="1"/>
        <v>84</v>
      </c>
      <c r="Q50" s="84"/>
    </row>
    <row r="51" spans="1:17" ht="21">
      <c r="A51" s="119">
        <v>50</v>
      </c>
      <c r="B51" s="25" t="s">
        <v>775</v>
      </c>
      <c r="C51" s="25"/>
      <c r="D51" s="25" t="s">
        <v>168</v>
      </c>
      <c r="E51" s="25" t="s">
        <v>79</v>
      </c>
      <c r="F51" s="25"/>
      <c r="G51" s="25" t="s">
        <v>25</v>
      </c>
      <c r="H51" s="25" t="s">
        <v>73</v>
      </c>
      <c r="I51" s="25" t="s">
        <v>83</v>
      </c>
      <c r="J51" s="25" t="s">
        <v>148</v>
      </c>
      <c r="K51" s="84">
        <v>28.5</v>
      </c>
      <c r="L51" s="84">
        <v>34</v>
      </c>
      <c r="M51" s="84">
        <v>6</v>
      </c>
      <c r="N51" s="84">
        <v>9</v>
      </c>
      <c r="O51" s="84">
        <v>6</v>
      </c>
      <c r="P51" s="84">
        <f t="shared" si="1"/>
        <v>83.5</v>
      </c>
      <c r="Q51" s="84"/>
    </row>
    <row r="52" spans="1:17" ht="21">
      <c r="A52" s="119">
        <v>51</v>
      </c>
      <c r="B52" s="25" t="s">
        <v>812</v>
      </c>
      <c r="C52" s="25"/>
      <c r="D52" s="25" t="s">
        <v>168</v>
      </c>
      <c r="E52" s="25" t="s">
        <v>79</v>
      </c>
      <c r="F52" s="25"/>
      <c r="G52" s="25" t="s">
        <v>25</v>
      </c>
      <c r="H52" s="25" t="s">
        <v>135</v>
      </c>
      <c r="I52" s="25" t="s">
        <v>83</v>
      </c>
      <c r="J52" s="25" t="s">
        <v>148</v>
      </c>
      <c r="K52" s="84">
        <v>26</v>
      </c>
      <c r="L52" s="84">
        <v>35</v>
      </c>
      <c r="M52" s="84">
        <v>5</v>
      </c>
      <c r="N52" s="84">
        <v>10</v>
      </c>
      <c r="O52" s="84">
        <v>7</v>
      </c>
      <c r="P52" s="84">
        <f t="shared" si="1"/>
        <v>83</v>
      </c>
      <c r="Q52" s="84"/>
    </row>
    <row r="53" spans="1:17" ht="21">
      <c r="A53" s="119">
        <v>52</v>
      </c>
      <c r="B53" s="25" t="s">
        <v>780</v>
      </c>
      <c r="C53" s="25"/>
      <c r="D53" s="25" t="s">
        <v>168</v>
      </c>
      <c r="E53" s="25" t="s">
        <v>79</v>
      </c>
      <c r="F53" s="25"/>
      <c r="G53" s="25" t="s">
        <v>25</v>
      </c>
      <c r="H53" s="25" t="s">
        <v>318</v>
      </c>
      <c r="I53" s="25" t="s">
        <v>83</v>
      </c>
      <c r="J53" s="25" t="s">
        <v>148</v>
      </c>
      <c r="K53" s="84">
        <f>15+4+3.5+4.5</f>
        <v>27</v>
      </c>
      <c r="L53" s="84">
        <v>34</v>
      </c>
      <c r="M53" s="84">
        <v>6.5</v>
      </c>
      <c r="N53" s="84">
        <v>9.5</v>
      </c>
      <c r="O53" s="84">
        <v>5.5</v>
      </c>
      <c r="P53" s="84">
        <f t="shared" si="1"/>
        <v>82.5</v>
      </c>
      <c r="Q53" s="84"/>
    </row>
    <row r="54" spans="1:17" ht="21">
      <c r="A54" s="119">
        <v>53</v>
      </c>
      <c r="B54" s="25" t="s">
        <v>821</v>
      </c>
      <c r="C54" s="25"/>
      <c r="D54" s="25" t="s">
        <v>168</v>
      </c>
      <c r="E54" s="25" t="s">
        <v>79</v>
      </c>
      <c r="F54" s="25"/>
      <c r="G54" s="25" t="s">
        <v>25</v>
      </c>
      <c r="H54" s="25" t="s">
        <v>27</v>
      </c>
      <c r="I54" s="25" t="s">
        <v>86</v>
      </c>
      <c r="J54" s="25" t="s">
        <v>148</v>
      </c>
      <c r="K54" s="25">
        <v>29.5</v>
      </c>
      <c r="L54" s="25">
        <v>33.5</v>
      </c>
      <c r="M54" s="25">
        <v>5</v>
      </c>
      <c r="N54" s="25">
        <v>7.5</v>
      </c>
      <c r="O54" s="25">
        <v>5.5</v>
      </c>
      <c r="P54" s="84">
        <f t="shared" si="1"/>
        <v>81</v>
      </c>
      <c r="Q54" s="25"/>
    </row>
    <row r="55" spans="1:17" ht="21">
      <c r="A55" s="119">
        <v>54</v>
      </c>
      <c r="B55" s="25" t="s">
        <v>829</v>
      </c>
      <c r="C55" s="25"/>
      <c r="D55" s="25" t="s">
        <v>168</v>
      </c>
      <c r="E55" s="25" t="s">
        <v>79</v>
      </c>
      <c r="F55" s="25"/>
      <c r="G55" s="25" t="s">
        <v>25</v>
      </c>
      <c r="H55" s="25" t="s">
        <v>159</v>
      </c>
      <c r="I55" s="25" t="s">
        <v>83</v>
      </c>
      <c r="J55" s="25" t="s">
        <v>148</v>
      </c>
      <c r="K55" s="25">
        <v>28</v>
      </c>
      <c r="L55" s="25">
        <v>35</v>
      </c>
      <c r="M55" s="25">
        <v>5.5</v>
      </c>
      <c r="N55" s="25">
        <v>7</v>
      </c>
      <c r="O55" s="25">
        <v>5.5</v>
      </c>
      <c r="P55" s="84">
        <f t="shared" si="1"/>
        <v>81</v>
      </c>
      <c r="Q55" s="25"/>
    </row>
    <row r="56" spans="1:17" ht="21">
      <c r="A56" s="119">
        <v>55</v>
      </c>
      <c r="B56" s="25" t="s">
        <v>818</v>
      </c>
      <c r="C56" s="25"/>
      <c r="D56" s="25" t="s">
        <v>168</v>
      </c>
      <c r="E56" s="25" t="s">
        <v>79</v>
      </c>
      <c r="F56" s="25"/>
      <c r="G56" s="25" t="s">
        <v>25</v>
      </c>
      <c r="H56" s="25" t="s">
        <v>34</v>
      </c>
      <c r="I56" s="25" t="s">
        <v>153</v>
      </c>
      <c r="J56" s="25" t="s">
        <v>151</v>
      </c>
      <c r="K56" s="84">
        <v>27</v>
      </c>
      <c r="L56" s="84">
        <v>35</v>
      </c>
      <c r="M56" s="84">
        <v>5.5</v>
      </c>
      <c r="N56" s="84">
        <v>8</v>
      </c>
      <c r="O56" s="84">
        <v>5</v>
      </c>
      <c r="P56" s="84">
        <f t="shared" si="1"/>
        <v>80.5</v>
      </c>
      <c r="Q56" s="84"/>
    </row>
    <row r="57" spans="1:17" ht="21">
      <c r="A57" s="119">
        <v>56</v>
      </c>
      <c r="B57" s="25" t="s">
        <v>841</v>
      </c>
      <c r="C57" s="25"/>
      <c r="D57" s="25" t="s">
        <v>168</v>
      </c>
      <c r="E57" s="25" t="s">
        <v>79</v>
      </c>
      <c r="F57" s="25"/>
      <c r="G57" s="25" t="s">
        <v>25</v>
      </c>
      <c r="H57" s="25" t="s">
        <v>71</v>
      </c>
      <c r="I57" s="25" t="s">
        <v>81</v>
      </c>
      <c r="J57" s="25" t="s">
        <v>158</v>
      </c>
      <c r="K57" s="25">
        <v>28.5</v>
      </c>
      <c r="L57" s="25">
        <v>32.5</v>
      </c>
      <c r="M57" s="25">
        <v>5.5</v>
      </c>
      <c r="N57" s="25">
        <v>7.5</v>
      </c>
      <c r="O57" s="25">
        <v>5.5</v>
      </c>
      <c r="P57" s="84">
        <f t="shared" si="1"/>
        <v>79.5</v>
      </c>
      <c r="Q57" s="25"/>
    </row>
    <row r="58" spans="1:17" ht="21">
      <c r="A58" s="119">
        <v>57</v>
      </c>
      <c r="B58" s="25" t="s">
        <v>811</v>
      </c>
      <c r="C58" s="25"/>
      <c r="D58" s="25" t="s">
        <v>168</v>
      </c>
      <c r="E58" s="25" t="s">
        <v>79</v>
      </c>
      <c r="F58" s="25"/>
      <c r="G58" s="25" t="s">
        <v>25</v>
      </c>
      <c r="H58" s="25" t="s">
        <v>135</v>
      </c>
      <c r="I58" s="25"/>
      <c r="J58" s="25" t="s">
        <v>148</v>
      </c>
      <c r="K58" s="84">
        <v>23.5</v>
      </c>
      <c r="L58" s="84">
        <v>34</v>
      </c>
      <c r="M58" s="84">
        <v>6.5</v>
      </c>
      <c r="N58" s="84">
        <v>8.5</v>
      </c>
      <c r="O58" s="84">
        <v>6.5</v>
      </c>
      <c r="P58" s="84">
        <f t="shared" si="1"/>
        <v>79</v>
      </c>
      <c r="Q58" s="84"/>
    </row>
    <row r="59" spans="1:17" ht="21">
      <c r="A59" s="119">
        <v>58</v>
      </c>
      <c r="B59" s="25" t="s">
        <v>796</v>
      </c>
      <c r="C59" s="25"/>
      <c r="D59" s="25" t="s">
        <v>168</v>
      </c>
      <c r="E59" s="25" t="s">
        <v>79</v>
      </c>
      <c r="F59" s="25"/>
      <c r="G59" s="25" t="s">
        <v>25</v>
      </c>
      <c r="H59" s="25" t="s">
        <v>68</v>
      </c>
      <c r="I59" s="25" t="s">
        <v>86</v>
      </c>
      <c r="J59" s="25" t="s">
        <v>148</v>
      </c>
      <c r="K59" s="84">
        <v>22</v>
      </c>
      <c r="L59" s="84">
        <v>34</v>
      </c>
      <c r="M59" s="84">
        <v>6.5</v>
      </c>
      <c r="N59" s="84">
        <v>10</v>
      </c>
      <c r="O59" s="84">
        <v>6</v>
      </c>
      <c r="P59" s="84">
        <f t="shared" si="1"/>
        <v>78.5</v>
      </c>
      <c r="Q59" s="84"/>
    </row>
    <row r="60" spans="1:17" ht="21">
      <c r="A60" s="119">
        <v>59</v>
      </c>
      <c r="B60" s="25" t="s">
        <v>817</v>
      </c>
      <c r="C60" s="25"/>
      <c r="D60" s="25" t="s">
        <v>168</v>
      </c>
      <c r="E60" s="25" t="s">
        <v>79</v>
      </c>
      <c r="F60" s="25"/>
      <c r="G60" s="25" t="s">
        <v>25</v>
      </c>
      <c r="H60" s="25" t="s">
        <v>29</v>
      </c>
      <c r="I60" s="25" t="s">
        <v>83</v>
      </c>
      <c r="J60" s="25" t="s">
        <v>148</v>
      </c>
      <c r="K60" s="84">
        <v>24.5</v>
      </c>
      <c r="L60" s="84">
        <v>34</v>
      </c>
      <c r="M60" s="84">
        <v>5.5</v>
      </c>
      <c r="N60" s="84">
        <v>8.5</v>
      </c>
      <c r="O60" s="84">
        <v>6</v>
      </c>
      <c r="P60" s="84">
        <f t="shared" si="1"/>
        <v>78.5</v>
      </c>
      <c r="Q60" s="84"/>
    </row>
    <row r="61" spans="1:17" ht="21">
      <c r="A61" s="119">
        <v>60</v>
      </c>
      <c r="B61" s="25" t="s">
        <v>837</v>
      </c>
      <c r="C61" s="25"/>
      <c r="D61" s="25" t="s">
        <v>168</v>
      </c>
      <c r="E61" s="25" t="s">
        <v>79</v>
      </c>
      <c r="F61" s="25"/>
      <c r="G61" s="25" t="s">
        <v>25</v>
      </c>
      <c r="H61" s="25" t="s">
        <v>40</v>
      </c>
      <c r="I61" s="25" t="s">
        <v>86</v>
      </c>
      <c r="J61" s="25" t="s">
        <v>148</v>
      </c>
      <c r="K61" s="25">
        <f>14+3.5+8</f>
        <v>25.5</v>
      </c>
      <c r="L61" s="25">
        <v>33</v>
      </c>
      <c r="M61" s="25">
        <v>5.5</v>
      </c>
      <c r="N61" s="25">
        <v>8</v>
      </c>
      <c r="O61" s="25">
        <v>5.5</v>
      </c>
      <c r="P61" s="84">
        <f t="shared" si="1"/>
        <v>77.5</v>
      </c>
      <c r="Q61" s="25"/>
    </row>
    <row r="62" spans="1:17" ht="21">
      <c r="A62" s="119">
        <v>61</v>
      </c>
      <c r="B62" s="25" t="s">
        <v>786</v>
      </c>
      <c r="C62" s="25"/>
      <c r="D62" s="25" t="s">
        <v>168</v>
      </c>
      <c r="E62" s="25" t="s">
        <v>76</v>
      </c>
      <c r="F62" s="25"/>
      <c r="G62" s="25" t="s">
        <v>25</v>
      </c>
      <c r="H62" s="25" t="s">
        <v>114</v>
      </c>
      <c r="I62" s="25"/>
      <c r="J62" s="25" t="s">
        <v>148</v>
      </c>
      <c r="K62" s="84">
        <f>15+3.5+4+3.5</f>
        <v>26</v>
      </c>
      <c r="L62" s="84">
        <v>33</v>
      </c>
      <c r="M62" s="84">
        <v>5</v>
      </c>
      <c r="N62" s="84">
        <v>8</v>
      </c>
      <c r="O62" s="84">
        <v>5</v>
      </c>
      <c r="P62" s="84">
        <f t="shared" si="1"/>
        <v>77</v>
      </c>
      <c r="Q62" s="84"/>
    </row>
    <row r="63" spans="1:17" ht="21">
      <c r="A63" s="119">
        <v>62</v>
      </c>
      <c r="B63" s="25" t="s">
        <v>791</v>
      </c>
      <c r="C63" s="25"/>
      <c r="D63" s="25" t="s">
        <v>168</v>
      </c>
      <c r="E63" s="25" t="s">
        <v>79</v>
      </c>
      <c r="F63" s="25"/>
      <c r="G63" s="25" t="s">
        <v>25</v>
      </c>
      <c r="H63" s="25" t="s">
        <v>150</v>
      </c>
      <c r="I63" s="25" t="s">
        <v>83</v>
      </c>
      <c r="J63" s="25" t="s">
        <v>148</v>
      </c>
      <c r="K63" s="84">
        <v>28.5</v>
      </c>
      <c r="L63" s="84">
        <v>32.5</v>
      </c>
      <c r="M63" s="84">
        <v>4.5</v>
      </c>
      <c r="N63" s="84">
        <v>6</v>
      </c>
      <c r="O63" s="84">
        <v>5</v>
      </c>
      <c r="P63" s="84">
        <f t="shared" si="1"/>
        <v>76.5</v>
      </c>
      <c r="Q63" s="84"/>
    </row>
    <row r="64" spans="1:17" ht="21">
      <c r="A64" s="119">
        <v>63</v>
      </c>
      <c r="B64" s="25" t="s">
        <v>840</v>
      </c>
      <c r="C64" s="25"/>
      <c r="D64" s="25" t="s">
        <v>168</v>
      </c>
      <c r="E64" s="25" t="s">
        <v>79</v>
      </c>
      <c r="F64" s="25"/>
      <c r="G64" s="25" t="s">
        <v>25</v>
      </c>
      <c r="H64" s="25" t="s">
        <v>71</v>
      </c>
      <c r="I64" s="25" t="s">
        <v>86</v>
      </c>
      <c r="J64" s="25" t="s">
        <v>158</v>
      </c>
      <c r="K64" s="25">
        <v>24</v>
      </c>
      <c r="L64" s="25">
        <v>33.5</v>
      </c>
      <c r="M64" s="25">
        <v>5.5</v>
      </c>
      <c r="N64" s="25">
        <v>8</v>
      </c>
      <c r="O64" s="25">
        <v>5</v>
      </c>
      <c r="P64" s="84">
        <f t="shared" si="1"/>
        <v>76</v>
      </c>
      <c r="Q64" s="25"/>
    </row>
    <row r="65" spans="1:17" ht="21">
      <c r="A65" s="119">
        <v>64</v>
      </c>
      <c r="B65" s="25" t="s">
        <v>833</v>
      </c>
      <c r="C65" s="25"/>
      <c r="D65" s="25" t="s">
        <v>168</v>
      </c>
      <c r="E65" s="25" t="s">
        <v>79</v>
      </c>
      <c r="F65" s="25"/>
      <c r="G65" s="25" t="s">
        <v>25</v>
      </c>
      <c r="H65" s="25" t="s">
        <v>58</v>
      </c>
      <c r="I65" s="25" t="s">
        <v>86</v>
      </c>
      <c r="J65" s="25" t="s">
        <v>148</v>
      </c>
      <c r="K65" s="25">
        <v>24</v>
      </c>
      <c r="L65" s="25">
        <v>31.5</v>
      </c>
      <c r="M65" s="25">
        <v>5.5</v>
      </c>
      <c r="N65" s="25">
        <v>7</v>
      </c>
      <c r="O65" s="25">
        <v>4</v>
      </c>
      <c r="P65" s="84">
        <f t="shared" si="1"/>
        <v>72</v>
      </c>
      <c r="Q65" s="25"/>
    </row>
    <row r="66" spans="1:17" ht="21">
      <c r="A66" s="119">
        <v>65</v>
      </c>
      <c r="B66" s="25" t="s">
        <v>824</v>
      </c>
      <c r="C66" s="25"/>
      <c r="D66" s="25" t="s">
        <v>168</v>
      </c>
      <c r="E66" s="25" t="s">
        <v>79</v>
      </c>
      <c r="F66" s="25"/>
      <c r="G66" s="25" t="s">
        <v>25</v>
      </c>
      <c r="H66" s="25" t="s">
        <v>100</v>
      </c>
      <c r="I66" s="25" t="s">
        <v>83</v>
      </c>
      <c r="J66" s="25" t="s">
        <v>148</v>
      </c>
      <c r="K66" s="25">
        <v>23.5</v>
      </c>
      <c r="L66" s="25">
        <v>32.5</v>
      </c>
      <c r="M66" s="25">
        <v>4.5</v>
      </c>
      <c r="N66" s="25">
        <v>6.5</v>
      </c>
      <c r="O66" s="25">
        <v>4</v>
      </c>
      <c r="P66" s="84">
        <f t="shared" ref="P66:P69" si="2">SUM(K66:O66)</f>
        <v>71</v>
      </c>
      <c r="Q66" s="25"/>
    </row>
    <row r="67" spans="1:17" ht="21">
      <c r="A67" s="119">
        <v>66</v>
      </c>
      <c r="B67" s="25" t="s">
        <v>777</v>
      </c>
      <c r="C67" s="25"/>
      <c r="D67" s="25" t="s">
        <v>168</v>
      </c>
      <c r="E67" s="25" t="s">
        <v>79</v>
      </c>
      <c r="F67" s="25"/>
      <c r="G67" s="25" t="s">
        <v>25</v>
      </c>
      <c r="H67" s="25" t="s">
        <v>80</v>
      </c>
      <c r="I67" s="25"/>
      <c r="J67" s="25" t="s">
        <v>152</v>
      </c>
      <c r="K67" s="84"/>
      <c r="L67" s="84"/>
      <c r="M67" s="84"/>
      <c r="N67" s="84"/>
      <c r="O67" s="84"/>
      <c r="P67" s="84">
        <f t="shared" si="2"/>
        <v>0</v>
      </c>
      <c r="Q67" s="84" t="s">
        <v>1276</v>
      </c>
    </row>
    <row r="68" spans="1:17" ht="21">
      <c r="A68" s="119">
        <v>67</v>
      </c>
      <c r="B68" s="25" t="s">
        <v>810</v>
      </c>
      <c r="C68" s="25"/>
      <c r="D68" s="25" t="s">
        <v>168</v>
      </c>
      <c r="E68" s="25" t="s">
        <v>79</v>
      </c>
      <c r="F68" s="25"/>
      <c r="G68" s="25" t="s">
        <v>25</v>
      </c>
      <c r="H68" s="25" t="s">
        <v>60</v>
      </c>
      <c r="I68" s="25" t="s">
        <v>86</v>
      </c>
      <c r="J68" s="25" t="s">
        <v>148</v>
      </c>
      <c r="K68" s="84"/>
      <c r="L68" s="84"/>
      <c r="M68" s="84"/>
      <c r="N68" s="84"/>
      <c r="O68" s="84"/>
      <c r="P68" s="84">
        <f t="shared" si="2"/>
        <v>0</v>
      </c>
      <c r="Q68" s="84" t="s">
        <v>1276</v>
      </c>
    </row>
    <row r="69" spans="1:17" ht="21">
      <c r="A69" s="119">
        <v>68</v>
      </c>
      <c r="B69" s="25" t="s">
        <v>843</v>
      </c>
      <c r="C69" s="25"/>
      <c r="D69" s="25" t="s">
        <v>168</v>
      </c>
      <c r="E69" s="25"/>
      <c r="F69" s="25"/>
      <c r="G69" s="25" t="s">
        <v>25</v>
      </c>
      <c r="H69" s="25" t="s">
        <v>77</v>
      </c>
      <c r="I69" s="25" t="s">
        <v>83</v>
      </c>
      <c r="J69" s="25" t="s">
        <v>154</v>
      </c>
      <c r="K69" s="25"/>
      <c r="L69" s="25"/>
      <c r="M69" s="25"/>
      <c r="N69" s="25"/>
      <c r="O69" s="25"/>
      <c r="P69" s="84">
        <f t="shared" si="2"/>
        <v>0</v>
      </c>
      <c r="Q69" s="84" t="s">
        <v>1276</v>
      </c>
    </row>
  </sheetData>
  <sortState ref="A2:R69">
    <sortCondition ref="R2:R69"/>
    <sortCondition descending="1" ref="P2:P69"/>
  </sortState>
  <conditionalFormatting sqref="B2:B3 B134:B1048576 B42:B69">
    <cfRule type="duplicateValues" dxfId="13" priority="41"/>
  </conditionalFormatting>
  <conditionalFormatting sqref="B3">
    <cfRule type="duplicateValues" dxfId="12" priority="24"/>
    <cfRule type="duplicateValues" dxfId="11" priority="25"/>
  </conditionalFormatting>
  <conditionalFormatting sqref="B4:B29 B31:B41">
    <cfRule type="duplicateValues" dxfId="10" priority="45"/>
  </conditionalFormatting>
  <conditionalFormatting sqref="B30">
    <cfRule type="duplicateValues" dxfId="9" priority="1"/>
    <cfRule type="duplicateValues" dxfId="8" priority="2"/>
  </conditionalFormatting>
  <conditionalFormatting sqref="B42">
    <cfRule type="duplicateValues" dxfId="7" priority="35"/>
  </conditionalFormatting>
  <conditionalFormatting sqref="B42:B43 B2:B3">
    <cfRule type="duplicateValues" dxfId="6" priority="44"/>
  </conditionalFormatting>
  <conditionalFormatting sqref="I3">
    <cfRule type="duplicateValues" dxfId="5" priority="20"/>
    <cfRule type="duplicateValues" dxfId="4" priority="21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7"/>
  <sheetViews>
    <sheetView rightToLeft="1" topLeftCell="G1" zoomScaleNormal="100" workbookViewId="0">
      <pane ySplit="2" topLeftCell="A39" activePane="bottomLeft" state="frozen"/>
      <selection activeCell="E1" sqref="E1"/>
      <selection pane="bottomLeft" activeCell="C2" sqref="C2:C58"/>
    </sheetView>
  </sheetViews>
  <sheetFormatPr defaultColWidth="9.125" defaultRowHeight="24"/>
  <cols>
    <col min="1" max="1" width="5.375" style="106" bestFit="1" customWidth="1"/>
    <col min="2" max="2" width="40.875" style="106" customWidth="1"/>
    <col min="3" max="3" width="17.625" style="106" customWidth="1"/>
    <col min="4" max="4" width="9.625" style="106" customWidth="1"/>
    <col min="5" max="5" width="5.25" style="106" bestFit="1" customWidth="1"/>
    <col min="6" max="6" width="19.25" style="106" customWidth="1"/>
    <col min="7" max="7" width="20.75" style="106" customWidth="1"/>
    <col min="8" max="8" width="34.625" style="106" customWidth="1"/>
    <col min="9" max="9" width="13.375" style="106" customWidth="1"/>
    <col min="10" max="10" width="15.75" style="106" customWidth="1"/>
    <col min="11" max="15" width="15.875" style="106" customWidth="1"/>
    <col min="16" max="16" width="56.125" style="106" customWidth="1"/>
    <col min="17" max="16384" width="9.125" style="106"/>
  </cols>
  <sheetData>
    <row r="1" spans="1:16" ht="72">
      <c r="A1" s="103" t="s">
        <v>0</v>
      </c>
      <c r="B1" s="104" t="s">
        <v>1</v>
      </c>
      <c r="C1" s="104" t="s">
        <v>50</v>
      </c>
      <c r="D1" s="103" t="s">
        <v>16</v>
      </c>
      <c r="E1" s="103" t="s">
        <v>15</v>
      </c>
      <c r="F1" s="104" t="s">
        <v>51</v>
      </c>
      <c r="G1" s="103" t="s">
        <v>14</v>
      </c>
      <c r="H1" s="103" t="s">
        <v>17</v>
      </c>
      <c r="I1" s="103" t="s">
        <v>3</v>
      </c>
      <c r="J1" s="103" t="s">
        <v>4</v>
      </c>
      <c r="K1" s="105" t="s">
        <v>33</v>
      </c>
      <c r="L1" s="103" t="s">
        <v>23</v>
      </c>
      <c r="M1" s="103" t="s">
        <v>11</v>
      </c>
      <c r="N1" s="103" t="s">
        <v>12</v>
      </c>
      <c r="O1" s="103" t="s">
        <v>5</v>
      </c>
      <c r="P1" s="103" t="s">
        <v>18</v>
      </c>
    </row>
    <row r="2" spans="1:16" ht="20.100000000000001" customHeight="1">
      <c r="A2" s="156">
        <v>1</v>
      </c>
      <c r="B2" s="110" t="s">
        <v>891</v>
      </c>
      <c r="C2" s="110"/>
      <c r="D2" s="110" t="s">
        <v>168</v>
      </c>
      <c r="E2" s="110" t="s">
        <v>79</v>
      </c>
      <c r="F2" s="110"/>
      <c r="G2" s="110" t="s">
        <v>24</v>
      </c>
      <c r="H2" s="110" t="s">
        <v>58</v>
      </c>
      <c r="I2" s="110" t="s">
        <v>81</v>
      </c>
      <c r="J2" s="110" t="s">
        <v>162</v>
      </c>
      <c r="K2" s="109">
        <v>31.5</v>
      </c>
      <c r="L2" s="109">
        <v>25.5</v>
      </c>
      <c r="M2" s="109">
        <v>16</v>
      </c>
      <c r="N2" s="109">
        <v>12.5</v>
      </c>
      <c r="O2" s="109">
        <f t="shared" ref="O2:O18" si="0">SUM(K2:N2)</f>
        <v>85.5</v>
      </c>
      <c r="P2" s="111"/>
    </row>
    <row r="3" spans="1:16" ht="20.100000000000001" customHeight="1">
      <c r="A3" s="156">
        <v>2</v>
      </c>
      <c r="B3" s="110" t="s">
        <v>888</v>
      </c>
      <c r="C3" s="110"/>
      <c r="D3" s="110" t="s">
        <v>168</v>
      </c>
      <c r="E3" s="110" t="s">
        <v>79</v>
      </c>
      <c r="F3" s="110"/>
      <c r="G3" s="110" t="s">
        <v>24</v>
      </c>
      <c r="H3" s="110" t="s">
        <v>57</v>
      </c>
      <c r="I3" s="110" t="s">
        <v>101</v>
      </c>
      <c r="J3" s="110" t="s">
        <v>163</v>
      </c>
      <c r="K3" s="109">
        <v>31.5</v>
      </c>
      <c r="L3" s="109">
        <v>23</v>
      </c>
      <c r="M3" s="109">
        <v>17.5</v>
      </c>
      <c r="N3" s="109">
        <v>10.5</v>
      </c>
      <c r="O3" s="109">
        <f t="shared" si="0"/>
        <v>82.5</v>
      </c>
      <c r="P3" s="109"/>
    </row>
    <row r="4" spans="1:16" ht="20.100000000000001" customHeight="1">
      <c r="A4" s="156">
        <v>3</v>
      </c>
      <c r="B4" s="110" t="s">
        <v>890</v>
      </c>
      <c r="C4" s="110"/>
      <c r="D4" s="110" t="s">
        <v>168</v>
      </c>
      <c r="E4" s="110" t="s">
        <v>79</v>
      </c>
      <c r="F4" s="110"/>
      <c r="G4" s="110" t="s">
        <v>24</v>
      </c>
      <c r="H4" s="110" t="s">
        <v>58</v>
      </c>
      <c r="I4" s="110" t="s">
        <v>81</v>
      </c>
      <c r="J4" s="110" t="s">
        <v>162</v>
      </c>
      <c r="K4" s="109">
        <v>33</v>
      </c>
      <c r="L4" s="109">
        <v>23.5</v>
      </c>
      <c r="M4" s="109">
        <v>14.5</v>
      </c>
      <c r="N4" s="109">
        <v>10</v>
      </c>
      <c r="O4" s="109">
        <f t="shared" si="0"/>
        <v>81</v>
      </c>
      <c r="P4" s="109"/>
    </row>
    <row r="5" spans="1:16" ht="20.100000000000001" customHeight="1">
      <c r="A5" s="156">
        <v>4</v>
      </c>
      <c r="B5" s="110" t="s">
        <v>845</v>
      </c>
      <c r="C5" s="110"/>
      <c r="D5" s="110" t="s">
        <v>168</v>
      </c>
      <c r="E5" s="110" t="s">
        <v>79</v>
      </c>
      <c r="F5" s="110"/>
      <c r="G5" s="110" t="s">
        <v>24</v>
      </c>
      <c r="H5" s="110" t="s">
        <v>80</v>
      </c>
      <c r="I5" s="110" t="s">
        <v>110</v>
      </c>
      <c r="J5" s="110" t="s">
        <v>161</v>
      </c>
      <c r="K5" s="109">
        <v>28.5</v>
      </c>
      <c r="L5" s="109">
        <v>24</v>
      </c>
      <c r="M5" s="109">
        <v>15</v>
      </c>
      <c r="N5" s="109">
        <v>12</v>
      </c>
      <c r="O5" s="109">
        <f t="shared" si="0"/>
        <v>79.5</v>
      </c>
      <c r="P5" s="109"/>
    </row>
    <row r="6" spans="1:16" ht="20.100000000000001" customHeight="1">
      <c r="A6" s="156">
        <v>5</v>
      </c>
      <c r="B6" s="110" t="s">
        <v>848</v>
      </c>
      <c r="C6" s="110"/>
      <c r="D6" s="110" t="s">
        <v>168</v>
      </c>
      <c r="E6" s="110" t="s">
        <v>79</v>
      </c>
      <c r="F6" s="110"/>
      <c r="G6" s="110" t="s">
        <v>24</v>
      </c>
      <c r="H6" s="110" t="s">
        <v>150</v>
      </c>
      <c r="I6" s="110" t="s">
        <v>81</v>
      </c>
      <c r="J6" s="110" t="s">
        <v>161</v>
      </c>
      <c r="K6" s="109">
        <v>22</v>
      </c>
      <c r="L6" s="109">
        <v>19</v>
      </c>
      <c r="M6" s="109">
        <v>16</v>
      </c>
      <c r="N6" s="109">
        <v>8.5</v>
      </c>
      <c r="O6" s="109">
        <f t="shared" si="0"/>
        <v>65.5</v>
      </c>
      <c r="P6" s="109"/>
    </row>
    <row r="7" spans="1:16" ht="20.100000000000001" customHeight="1">
      <c r="A7" s="156">
        <v>6</v>
      </c>
      <c r="B7" s="110" t="s">
        <v>854</v>
      </c>
      <c r="C7" s="110"/>
      <c r="D7" s="110" t="s">
        <v>168</v>
      </c>
      <c r="E7" s="110" t="s">
        <v>79</v>
      </c>
      <c r="F7" s="110"/>
      <c r="G7" s="110" t="s">
        <v>24</v>
      </c>
      <c r="H7" s="110" t="s">
        <v>69</v>
      </c>
      <c r="I7" s="110" t="s">
        <v>89</v>
      </c>
      <c r="J7" s="110" t="s">
        <v>161</v>
      </c>
      <c r="K7" s="109"/>
      <c r="L7" s="109"/>
      <c r="M7" s="109"/>
      <c r="N7" s="109"/>
      <c r="O7" s="109">
        <f t="shared" si="0"/>
        <v>0</v>
      </c>
      <c r="P7" s="109" t="s">
        <v>1276</v>
      </c>
    </row>
    <row r="8" spans="1:16" ht="20.100000000000001" customHeight="1">
      <c r="A8" s="156">
        <v>7</v>
      </c>
      <c r="B8" s="110" t="s">
        <v>855</v>
      </c>
      <c r="C8" s="110"/>
      <c r="D8" s="110" t="s">
        <v>168</v>
      </c>
      <c r="E8" s="110" t="s">
        <v>79</v>
      </c>
      <c r="F8" s="110"/>
      <c r="G8" s="110" t="s">
        <v>24</v>
      </c>
      <c r="H8" s="110" t="s">
        <v>122</v>
      </c>
      <c r="I8" s="110" t="s">
        <v>86</v>
      </c>
      <c r="J8" s="110" t="s">
        <v>163</v>
      </c>
      <c r="K8" s="109"/>
      <c r="L8" s="109"/>
      <c r="M8" s="109"/>
      <c r="N8" s="109"/>
      <c r="O8" s="109">
        <f t="shared" si="0"/>
        <v>0</v>
      </c>
      <c r="P8" s="109" t="s">
        <v>1276</v>
      </c>
    </row>
    <row r="9" spans="1:16" ht="20.100000000000001" customHeight="1">
      <c r="A9" s="156">
        <v>8</v>
      </c>
      <c r="B9" s="110" t="s">
        <v>856</v>
      </c>
      <c r="C9" s="110"/>
      <c r="D9" s="110" t="s">
        <v>168</v>
      </c>
      <c r="E9" s="110" t="s">
        <v>79</v>
      </c>
      <c r="F9" s="110"/>
      <c r="G9" s="110" t="s">
        <v>24</v>
      </c>
      <c r="H9" s="110" t="s">
        <v>122</v>
      </c>
      <c r="I9" s="110" t="s">
        <v>81</v>
      </c>
      <c r="J9" s="110" t="s">
        <v>163</v>
      </c>
      <c r="K9" s="109"/>
      <c r="L9" s="109"/>
      <c r="M9" s="109"/>
      <c r="N9" s="109"/>
      <c r="O9" s="109">
        <f t="shared" si="0"/>
        <v>0</v>
      </c>
      <c r="P9" s="109" t="s">
        <v>1276</v>
      </c>
    </row>
    <row r="10" spans="1:16" ht="20.100000000000001" customHeight="1">
      <c r="A10" s="156">
        <v>9</v>
      </c>
      <c r="B10" s="110" t="s">
        <v>861</v>
      </c>
      <c r="C10" s="110"/>
      <c r="D10" s="110" t="s">
        <v>168</v>
      </c>
      <c r="E10" s="110" t="s">
        <v>79</v>
      </c>
      <c r="F10" s="110"/>
      <c r="G10" s="110" t="s">
        <v>24</v>
      </c>
      <c r="H10" s="110" t="s">
        <v>30</v>
      </c>
      <c r="I10" s="110" t="s">
        <v>86</v>
      </c>
      <c r="J10" s="110" t="s">
        <v>161</v>
      </c>
      <c r="K10" s="109"/>
      <c r="L10" s="109"/>
      <c r="M10" s="109"/>
      <c r="N10" s="109"/>
      <c r="O10" s="109">
        <f t="shared" si="0"/>
        <v>0</v>
      </c>
      <c r="P10" s="109" t="s">
        <v>1276</v>
      </c>
    </row>
    <row r="11" spans="1:16" ht="20.100000000000001" customHeight="1">
      <c r="A11" s="156">
        <v>10</v>
      </c>
      <c r="B11" s="110" t="s">
        <v>865</v>
      </c>
      <c r="C11" s="110"/>
      <c r="D11" s="110" t="s">
        <v>168</v>
      </c>
      <c r="E11" s="110" t="s">
        <v>79</v>
      </c>
      <c r="F11" s="110"/>
      <c r="G11" s="110" t="s">
        <v>24</v>
      </c>
      <c r="H11" s="110" t="s">
        <v>53</v>
      </c>
      <c r="I11" s="110" t="s">
        <v>110</v>
      </c>
      <c r="J11" s="110" t="s">
        <v>161</v>
      </c>
      <c r="K11" s="109"/>
      <c r="L11" s="109"/>
      <c r="M11" s="109"/>
      <c r="N11" s="109"/>
      <c r="O11" s="109">
        <f t="shared" si="0"/>
        <v>0</v>
      </c>
      <c r="P11" s="109" t="s">
        <v>1276</v>
      </c>
    </row>
    <row r="12" spans="1:16" ht="20.100000000000001" customHeight="1">
      <c r="A12" s="156">
        <v>11</v>
      </c>
      <c r="B12" s="110" t="s">
        <v>872</v>
      </c>
      <c r="C12" s="110"/>
      <c r="D12" s="110" t="s">
        <v>168</v>
      </c>
      <c r="E12" s="110" t="s">
        <v>79</v>
      </c>
      <c r="F12" s="110"/>
      <c r="G12" s="110" t="s">
        <v>24</v>
      </c>
      <c r="H12" s="110" t="s">
        <v>61</v>
      </c>
      <c r="I12" s="110" t="s">
        <v>101</v>
      </c>
      <c r="J12" s="110" t="s">
        <v>162</v>
      </c>
      <c r="K12" s="109"/>
      <c r="L12" s="109"/>
      <c r="M12" s="109"/>
      <c r="N12" s="109"/>
      <c r="O12" s="109">
        <f t="shared" si="0"/>
        <v>0</v>
      </c>
      <c r="P12" s="109" t="s">
        <v>1276</v>
      </c>
    </row>
    <row r="13" spans="1:16" ht="20.100000000000001" customHeight="1">
      <c r="A13" s="156">
        <v>12</v>
      </c>
      <c r="B13" s="110" t="s">
        <v>873</v>
      </c>
      <c r="C13" s="110"/>
      <c r="D13" s="110" t="s">
        <v>168</v>
      </c>
      <c r="E13" s="110" t="s">
        <v>79</v>
      </c>
      <c r="F13" s="110"/>
      <c r="G13" s="110" t="s">
        <v>24</v>
      </c>
      <c r="H13" s="110" t="s">
        <v>61</v>
      </c>
      <c r="I13" s="110" t="s">
        <v>101</v>
      </c>
      <c r="J13" s="110" t="s">
        <v>162</v>
      </c>
      <c r="K13" s="109"/>
      <c r="L13" s="109"/>
      <c r="M13" s="109"/>
      <c r="N13" s="109"/>
      <c r="O13" s="109">
        <f t="shared" si="0"/>
        <v>0</v>
      </c>
      <c r="P13" s="109" t="s">
        <v>1276</v>
      </c>
    </row>
    <row r="14" spans="1:16" ht="20.100000000000001" customHeight="1">
      <c r="A14" s="156">
        <v>13</v>
      </c>
      <c r="B14" s="110" t="s">
        <v>877</v>
      </c>
      <c r="C14" s="110"/>
      <c r="D14" s="110" t="s">
        <v>168</v>
      </c>
      <c r="E14" s="110" t="s">
        <v>79</v>
      </c>
      <c r="F14" s="110"/>
      <c r="G14" s="110" t="s">
        <v>24</v>
      </c>
      <c r="H14" s="110" t="s">
        <v>34</v>
      </c>
      <c r="I14" s="110" t="s">
        <v>878</v>
      </c>
      <c r="J14" s="110" t="s">
        <v>166</v>
      </c>
      <c r="K14" s="109"/>
      <c r="L14" s="109"/>
      <c r="M14" s="109"/>
      <c r="N14" s="109"/>
      <c r="O14" s="109">
        <f t="shared" si="0"/>
        <v>0</v>
      </c>
      <c r="P14" s="109" t="s">
        <v>1276</v>
      </c>
    </row>
    <row r="15" spans="1:16" ht="20.100000000000001" customHeight="1">
      <c r="A15" s="156">
        <v>14</v>
      </c>
      <c r="B15" s="110" t="s">
        <v>880</v>
      </c>
      <c r="C15" s="110"/>
      <c r="D15" s="110" t="s">
        <v>168</v>
      </c>
      <c r="E15" s="110" t="s">
        <v>79</v>
      </c>
      <c r="F15" s="110"/>
      <c r="G15" s="110" t="s">
        <v>24</v>
      </c>
      <c r="H15" s="110" t="s">
        <v>55</v>
      </c>
      <c r="I15" s="110" t="s">
        <v>86</v>
      </c>
      <c r="J15" s="110" t="s">
        <v>161</v>
      </c>
      <c r="K15" s="111"/>
      <c r="L15" s="111"/>
      <c r="M15" s="111"/>
      <c r="N15" s="111"/>
      <c r="O15" s="109">
        <f t="shared" si="0"/>
        <v>0</v>
      </c>
      <c r="P15" s="109" t="s">
        <v>1276</v>
      </c>
    </row>
    <row r="16" spans="1:16" ht="20.100000000000001" customHeight="1">
      <c r="A16" s="156">
        <v>15</v>
      </c>
      <c r="B16" s="110" t="s">
        <v>882</v>
      </c>
      <c r="C16" s="110"/>
      <c r="D16" s="110" t="s">
        <v>168</v>
      </c>
      <c r="E16" s="110" t="s">
        <v>79</v>
      </c>
      <c r="F16" s="110"/>
      <c r="G16" s="110" t="s">
        <v>24</v>
      </c>
      <c r="H16" s="110" t="s">
        <v>27</v>
      </c>
      <c r="I16" s="110" t="s">
        <v>86</v>
      </c>
      <c r="J16" s="110" t="s">
        <v>161</v>
      </c>
      <c r="K16" s="109"/>
      <c r="L16" s="109"/>
      <c r="M16" s="109"/>
      <c r="N16" s="109"/>
      <c r="O16" s="109">
        <f t="shared" si="0"/>
        <v>0</v>
      </c>
      <c r="P16" s="109" t="s">
        <v>1276</v>
      </c>
    </row>
    <row r="17" spans="1:16" ht="20.100000000000001" customHeight="1">
      <c r="A17" s="156">
        <v>16</v>
      </c>
      <c r="B17" s="110" t="s">
        <v>229</v>
      </c>
      <c r="C17" s="110"/>
      <c r="D17" s="110" t="s">
        <v>168</v>
      </c>
      <c r="E17" s="110" t="s">
        <v>79</v>
      </c>
      <c r="F17" s="110"/>
      <c r="G17" s="110" t="s">
        <v>24</v>
      </c>
      <c r="H17" s="110" t="s">
        <v>137</v>
      </c>
      <c r="I17" s="110" t="s">
        <v>86</v>
      </c>
      <c r="J17" s="110" t="s">
        <v>160</v>
      </c>
      <c r="K17" s="109"/>
      <c r="L17" s="109"/>
      <c r="M17" s="109"/>
      <c r="N17" s="109"/>
      <c r="O17" s="109">
        <f t="shared" si="0"/>
        <v>0</v>
      </c>
      <c r="P17" s="109" t="s">
        <v>1276</v>
      </c>
    </row>
    <row r="18" spans="1:16" ht="20.100000000000001" customHeight="1">
      <c r="A18" s="156">
        <v>17</v>
      </c>
      <c r="B18" s="110" t="s">
        <v>898</v>
      </c>
      <c r="C18" s="110"/>
      <c r="D18" s="110" t="s">
        <v>168</v>
      </c>
      <c r="E18" s="110" t="s">
        <v>79</v>
      </c>
      <c r="F18" s="110"/>
      <c r="G18" s="110" t="s">
        <v>24</v>
      </c>
      <c r="H18" s="110" t="s">
        <v>71</v>
      </c>
      <c r="I18" s="110" t="s">
        <v>81</v>
      </c>
      <c r="J18" s="110" t="s">
        <v>162</v>
      </c>
      <c r="K18" s="111"/>
      <c r="L18" s="111"/>
      <c r="M18" s="111"/>
      <c r="N18" s="111"/>
      <c r="O18" s="109">
        <f t="shared" si="0"/>
        <v>0</v>
      </c>
      <c r="P18" s="109" t="s">
        <v>1276</v>
      </c>
    </row>
    <row r="19" spans="1:16" ht="20.100000000000001" customHeight="1">
      <c r="A19" s="156">
        <v>18</v>
      </c>
      <c r="B19" s="110" t="s">
        <v>844</v>
      </c>
      <c r="C19" s="110"/>
      <c r="D19" s="110" t="s">
        <v>168</v>
      </c>
      <c r="E19" s="110" t="s">
        <v>79</v>
      </c>
      <c r="F19" s="110"/>
      <c r="G19" s="110" t="s">
        <v>24</v>
      </c>
      <c r="H19" s="110" t="s">
        <v>73</v>
      </c>
      <c r="I19" s="110" t="s">
        <v>101</v>
      </c>
      <c r="J19" s="110" t="s">
        <v>160</v>
      </c>
      <c r="K19" s="109"/>
      <c r="L19" s="109"/>
      <c r="M19" s="109"/>
      <c r="N19" s="109"/>
      <c r="O19" s="109"/>
      <c r="P19" s="109" t="s">
        <v>1276</v>
      </c>
    </row>
    <row r="20" spans="1:16" ht="20.100000000000001" customHeight="1">
      <c r="A20" s="156">
        <v>19</v>
      </c>
      <c r="B20" s="113" t="s">
        <v>903</v>
      </c>
      <c r="C20" s="113"/>
      <c r="D20" s="113" t="s">
        <v>168</v>
      </c>
      <c r="E20" s="113" t="s">
        <v>79</v>
      </c>
      <c r="F20" s="113"/>
      <c r="G20" s="113" t="s">
        <v>26</v>
      </c>
      <c r="H20" s="113" t="s">
        <v>113</v>
      </c>
      <c r="I20" s="113"/>
      <c r="J20" s="113"/>
      <c r="K20" s="113">
        <v>34</v>
      </c>
      <c r="L20" s="113">
        <v>25.5</v>
      </c>
      <c r="M20" s="113">
        <v>17.5</v>
      </c>
      <c r="N20" s="113">
        <v>13.5</v>
      </c>
      <c r="O20" s="112">
        <f t="shared" ref="O20:O58" si="1">SUM(K20:N20)</f>
        <v>90.5</v>
      </c>
      <c r="P20" s="113"/>
    </row>
    <row r="21" spans="1:16" ht="20.100000000000001" customHeight="1">
      <c r="A21" s="156">
        <v>20</v>
      </c>
      <c r="B21" s="113" t="s">
        <v>862</v>
      </c>
      <c r="C21" s="113"/>
      <c r="D21" s="113" t="s">
        <v>168</v>
      </c>
      <c r="E21" s="113" t="s">
        <v>79</v>
      </c>
      <c r="F21" s="113"/>
      <c r="G21" s="113" t="s">
        <v>26</v>
      </c>
      <c r="H21" s="113" t="s">
        <v>64</v>
      </c>
      <c r="I21" s="113" t="s">
        <v>101</v>
      </c>
      <c r="J21" s="113" t="s">
        <v>161</v>
      </c>
      <c r="K21" s="112">
        <v>32.5</v>
      </c>
      <c r="L21" s="112">
        <v>26</v>
      </c>
      <c r="M21" s="112">
        <v>17</v>
      </c>
      <c r="N21" s="112">
        <v>13</v>
      </c>
      <c r="O21" s="112">
        <f t="shared" si="1"/>
        <v>88.5</v>
      </c>
      <c r="P21" s="112"/>
    </row>
    <row r="22" spans="1:16" ht="20.100000000000001" customHeight="1">
      <c r="A22" s="156">
        <v>21</v>
      </c>
      <c r="B22" s="113" t="s">
        <v>866</v>
      </c>
      <c r="C22" s="113"/>
      <c r="D22" s="113" t="s">
        <v>168</v>
      </c>
      <c r="E22" s="113" t="s">
        <v>79</v>
      </c>
      <c r="F22" s="113"/>
      <c r="G22" s="113" t="s">
        <v>26</v>
      </c>
      <c r="H22" s="113" t="s">
        <v>53</v>
      </c>
      <c r="I22" s="113" t="s">
        <v>81</v>
      </c>
      <c r="J22" s="113" t="s">
        <v>161</v>
      </c>
      <c r="K22" s="112">
        <v>34</v>
      </c>
      <c r="L22" s="112">
        <v>25</v>
      </c>
      <c r="M22" s="112">
        <v>17</v>
      </c>
      <c r="N22" s="112">
        <v>12.5</v>
      </c>
      <c r="O22" s="112">
        <f t="shared" si="1"/>
        <v>88.5</v>
      </c>
      <c r="P22" s="112"/>
    </row>
    <row r="23" spans="1:16" ht="20.100000000000001" customHeight="1">
      <c r="A23" s="156">
        <v>22</v>
      </c>
      <c r="B23" s="113" t="s">
        <v>889</v>
      </c>
      <c r="C23" s="113"/>
      <c r="D23" s="113" t="s">
        <v>168</v>
      </c>
      <c r="E23" s="113" t="s">
        <v>79</v>
      </c>
      <c r="F23" s="113"/>
      <c r="G23" s="113" t="s">
        <v>26</v>
      </c>
      <c r="H23" s="113" t="s">
        <v>57</v>
      </c>
      <c r="I23" s="113" t="s">
        <v>83</v>
      </c>
      <c r="J23" s="113" t="s">
        <v>163</v>
      </c>
      <c r="K23" s="112">
        <v>34</v>
      </c>
      <c r="L23" s="112">
        <v>24.5</v>
      </c>
      <c r="M23" s="112">
        <v>17</v>
      </c>
      <c r="N23" s="112">
        <v>12.5</v>
      </c>
      <c r="O23" s="112">
        <f t="shared" si="1"/>
        <v>88</v>
      </c>
      <c r="P23" s="112"/>
    </row>
    <row r="24" spans="1:16" ht="20.100000000000001" customHeight="1">
      <c r="A24" s="156">
        <v>23</v>
      </c>
      <c r="B24" s="113" t="s">
        <v>879</v>
      </c>
      <c r="C24" s="113"/>
      <c r="D24" s="113" t="s">
        <v>168</v>
      </c>
      <c r="E24" s="113" t="s">
        <v>79</v>
      </c>
      <c r="F24" s="113"/>
      <c r="G24" s="113" t="s">
        <v>26</v>
      </c>
      <c r="H24" s="113" t="s">
        <v>99</v>
      </c>
      <c r="I24" s="113" t="s">
        <v>83</v>
      </c>
      <c r="J24" s="113" t="s">
        <v>161</v>
      </c>
      <c r="K24" s="112">
        <v>31</v>
      </c>
      <c r="L24" s="112">
        <v>24</v>
      </c>
      <c r="M24" s="112">
        <v>16.5</v>
      </c>
      <c r="N24" s="112">
        <v>12</v>
      </c>
      <c r="O24" s="112">
        <f t="shared" si="1"/>
        <v>83.5</v>
      </c>
      <c r="P24" s="112"/>
    </row>
    <row r="25" spans="1:16" ht="20.100000000000001" customHeight="1">
      <c r="A25" s="156">
        <v>24</v>
      </c>
      <c r="B25" s="113" t="s">
        <v>887</v>
      </c>
      <c r="C25" s="113"/>
      <c r="D25" s="113" t="s">
        <v>168</v>
      </c>
      <c r="E25" s="113" t="s">
        <v>79</v>
      </c>
      <c r="F25" s="113"/>
      <c r="G25" s="113" t="s">
        <v>26</v>
      </c>
      <c r="H25" s="113" t="s">
        <v>280</v>
      </c>
      <c r="I25" s="113" t="s">
        <v>101</v>
      </c>
      <c r="J25" s="113" t="s">
        <v>161</v>
      </c>
      <c r="K25" s="112">
        <v>30</v>
      </c>
      <c r="L25" s="112">
        <v>24.5</v>
      </c>
      <c r="M25" s="112">
        <v>15</v>
      </c>
      <c r="N25" s="112">
        <v>12</v>
      </c>
      <c r="O25" s="112">
        <f t="shared" si="1"/>
        <v>81.5</v>
      </c>
      <c r="P25" s="112"/>
    </row>
    <row r="26" spans="1:16" ht="20.100000000000001" customHeight="1">
      <c r="A26" s="156">
        <v>25</v>
      </c>
      <c r="B26" s="113" t="s">
        <v>867</v>
      </c>
      <c r="C26" s="113"/>
      <c r="D26" s="113" t="s">
        <v>168</v>
      </c>
      <c r="E26" s="113" t="s">
        <v>79</v>
      </c>
      <c r="F26" s="113"/>
      <c r="G26" s="113" t="s">
        <v>26</v>
      </c>
      <c r="H26" s="113" t="s">
        <v>53</v>
      </c>
      <c r="I26" s="113" t="s">
        <v>81</v>
      </c>
      <c r="J26" s="113" t="s">
        <v>161</v>
      </c>
      <c r="K26" s="112">
        <v>28</v>
      </c>
      <c r="L26" s="112">
        <v>23.5</v>
      </c>
      <c r="M26" s="112">
        <v>15</v>
      </c>
      <c r="N26" s="112">
        <v>11.5</v>
      </c>
      <c r="O26" s="112">
        <f t="shared" si="1"/>
        <v>78</v>
      </c>
      <c r="P26" s="112"/>
    </row>
    <row r="27" spans="1:16" ht="20.100000000000001" customHeight="1">
      <c r="A27" s="156">
        <v>26</v>
      </c>
      <c r="B27" s="113" t="s">
        <v>847</v>
      </c>
      <c r="C27" s="113"/>
      <c r="D27" s="113" t="s">
        <v>168</v>
      </c>
      <c r="E27" s="113" t="s">
        <v>79</v>
      </c>
      <c r="F27" s="113"/>
      <c r="G27" s="113" t="s">
        <v>26</v>
      </c>
      <c r="H27" s="113" t="s">
        <v>150</v>
      </c>
      <c r="I27" s="113" t="s">
        <v>88</v>
      </c>
      <c r="J27" s="113" t="s">
        <v>161</v>
      </c>
      <c r="K27" s="112">
        <v>23</v>
      </c>
      <c r="L27" s="112">
        <v>24</v>
      </c>
      <c r="M27" s="112">
        <v>18</v>
      </c>
      <c r="N27" s="112">
        <v>11.5</v>
      </c>
      <c r="O27" s="112">
        <f t="shared" si="1"/>
        <v>76.5</v>
      </c>
      <c r="P27" s="112"/>
    </row>
    <row r="28" spans="1:16" ht="20.100000000000001" customHeight="1">
      <c r="A28" s="156">
        <v>27</v>
      </c>
      <c r="B28" s="113" t="s">
        <v>846</v>
      </c>
      <c r="C28" s="113"/>
      <c r="D28" s="113" t="s">
        <v>168</v>
      </c>
      <c r="E28" s="113" t="s">
        <v>76</v>
      </c>
      <c r="F28" s="113"/>
      <c r="G28" s="113" t="s">
        <v>26</v>
      </c>
      <c r="H28" s="113" t="s">
        <v>114</v>
      </c>
      <c r="I28" s="113" t="s">
        <v>86</v>
      </c>
      <c r="J28" s="113" t="s">
        <v>161</v>
      </c>
      <c r="K28" s="112">
        <v>31</v>
      </c>
      <c r="L28" s="112">
        <v>19</v>
      </c>
      <c r="M28" s="112">
        <v>15</v>
      </c>
      <c r="N28" s="112">
        <v>11</v>
      </c>
      <c r="O28" s="112">
        <f t="shared" si="1"/>
        <v>76</v>
      </c>
      <c r="P28" s="112"/>
    </row>
    <row r="29" spans="1:16" ht="20.100000000000001" customHeight="1">
      <c r="A29" s="156">
        <v>28</v>
      </c>
      <c r="B29" s="113" t="s">
        <v>886</v>
      </c>
      <c r="C29" s="113"/>
      <c r="D29" s="113" t="s">
        <v>168</v>
      </c>
      <c r="E29" s="113" t="s">
        <v>79</v>
      </c>
      <c r="F29" s="113"/>
      <c r="G29" s="113" t="s">
        <v>26</v>
      </c>
      <c r="H29" s="113" t="s">
        <v>280</v>
      </c>
      <c r="I29" s="113" t="s">
        <v>101</v>
      </c>
      <c r="J29" s="113" t="s">
        <v>161</v>
      </c>
      <c r="K29" s="112">
        <v>29</v>
      </c>
      <c r="L29" s="112">
        <v>20.5</v>
      </c>
      <c r="M29" s="112">
        <v>15.5</v>
      </c>
      <c r="N29" s="112">
        <v>11</v>
      </c>
      <c r="O29" s="112">
        <f t="shared" si="1"/>
        <v>76</v>
      </c>
      <c r="P29" s="112"/>
    </row>
    <row r="30" spans="1:16" ht="20.100000000000001" customHeight="1">
      <c r="A30" s="156">
        <v>29</v>
      </c>
      <c r="B30" s="113" t="s">
        <v>892</v>
      </c>
      <c r="C30" s="113"/>
      <c r="D30" s="113" t="s">
        <v>168</v>
      </c>
      <c r="E30" s="113" t="s">
        <v>79</v>
      </c>
      <c r="F30" s="113"/>
      <c r="G30" s="113" t="s">
        <v>26</v>
      </c>
      <c r="H30" s="113" t="s">
        <v>58</v>
      </c>
      <c r="I30" s="113" t="s">
        <v>83</v>
      </c>
      <c r="J30" s="113" t="s">
        <v>162</v>
      </c>
      <c r="K30" s="112">
        <v>30</v>
      </c>
      <c r="L30" s="112">
        <v>22</v>
      </c>
      <c r="M30" s="112">
        <v>14</v>
      </c>
      <c r="N30" s="112">
        <v>10</v>
      </c>
      <c r="O30" s="112">
        <f t="shared" si="1"/>
        <v>76</v>
      </c>
      <c r="P30" s="112"/>
    </row>
    <row r="31" spans="1:16" ht="20.100000000000001" customHeight="1">
      <c r="A31" s="156">
        <v>30</v>
      </c>
      <c r="B31" s="113" t="s">
        <v>874</v>
      </c>
      <c r="C31" s="113"/>
      <c r="D31" s="113" t="s">
        <v>168</v>
      </c>
      <c r="E31" s="113" t="s">
        <v>79</v>
      </c>
      <c r="F31" s="113"/>
      <c r="G31" s="113" t="s">
        <v>92</v>
      </c>
      <c r="H31" s="113" t="s">
        <v>52</v>
      </c>
      <c r="I31" s="113" t="s">
        <v>418</v>
      </c>
      <c r="J31" s="113" t="s">
        <v>165</v>
      </c>
      <c r="K31" s="112">
        <v>27</v>
      </c>
      <c r="L31" s="112">
        <v>23</v>
      </c>
      <c r="M31" s="112">
        <v>14.5</v>
      </c>
      <c r="N31" s="112">
        <v>10</v>
      </c>
      <c r="O31" s="112">
        <f t="shared" si="1"/>
        <v>74.5</v>
      </c>
      <c r="P31" s="112"/>
    </row>
    <row r="32" spans="1:16" ht="20.100000000000001" customHeight="1">
      <c r="A32" s="156">
        <v>31</v>
      </c>
      <c r="B32" s="113" t="s">
        <v>851</v>
      </c>
      <c r="C32" s="113"/>
      <c r="D32" s="113" t="s">
        <v>168</v>
      </c>
      <c r="E32" s="113" t="s">
        <v>79</v>
      </c>
      <c r="F32" s="113"/>
      <c r="G32" s="113" t="s">
        <v>26</v>
      </c>
      <c r="H32" s="113" t="s">
        <v>69</v>
      </c>
      <c r="I32" s="113" t="s">
        <v>363</v>
      </c>
      <c r="J32" s="113" t="s">
        <v>161</v>
      </c>
      <c r="K32" s="112">
        <v>26.5</v>
      </c>
      <c r="L32" s="112">
        <v>23</v>
      </c>
      <c r="M32" s="112">
        <v>13</v>
      </c>
      <c r="N32" s="112">
        <v>11.5</v>
      </c>
      <c r="O32" s="112">
        <f t="shared" si="1"/>
        <v>74</v>
      </c>
      <c r="P32" s="112"/>
    </row>
    <row r="33" spans="1:16" ht="20.100000000000001" customHeight="1">
      <c r="A33" s="156">
        <v>32</v>
      </c>
      <c r="B33" s="113" t="s">
        <v>883</v>
      </c>
      <c r="C33" s="113"/>
      <c r="D33" s="113" t="s">
        <v>168</v>
      </c>
      <c r="E33" s="113" t="s">
        <v>79</v>
      </c>
      <c r="F33" s="113"/>
      <c r="G33" s="113" t="s">
        <v>26</v>
      </c>
      <c r="H33" s="113" t="s">
        <v>100</v>
      </c>
      <c r="I33" s="113" t="s">
        <v>101</v>
      </c>
      <c r="J33" s="113" t="s">
        <v>161</v>
      </c>
      <c r="K33" s="112">
        <v>26</v>
      </c>
      <c r="L33" s="112">
        <v>22.5</v>
      </c>
      <c r="M33" s="112">
        <v>14.5</v>
      </c>
      <c r="N33" s="112">
        <v>10.5</v>
      </c>
      <c r="O33" s="112">
        <f t="shared" si="1"/>
        <v>73.5</v>
      </c>
      <c r="P33" s="112"/>
    </row>
    <row r="34" spans="1:16" ht="20.100000000000001" customHeight="1">
      <c r="A34" s="156">
        <v>33</v>
      </c>
      <c r="B34" s="113" t="s">
        <v>870</v>
      </c>
      <c r="C34" s="113"/>
      <c r="D34" s="113" t="s">
        <v>168</v>
      </c>
      <c r="E34" s="113" t="s">
        <v>79</v>
      </c>
      <c r="F34" s="113"/>
      <c r="G34" s="113" t="s">
        <v>26</v>
      </c>
      <c r="H34" s="113" t="s">
        <v>61</v>
      </c>
      <c r="I34" s="113" t="s">
        <v>101</v>
      </c>
      <c r="J34" s="113" t="s">
        <v>162</v>
      </c>
      <c r="K34" s="112">
        <v>26</v>
      </c>
      <c r="L34" s="112">
        <v>22</v>
      </c>
      <c r="M34" s="112">
        <v>15</v>
      </c>
      <c r="N34" s="112">
        <v>10</v>
      </c>
      <c r="O34" s="112">
        <f t="shared" si="1"/>
        <v>73</v>
      </c>
      <c r="P34" s="112"/>
    </row>
    <row r="35" spans="1:16" ht="20.100000000000001" customHeight="1">
      <c r="A35" s="156">
        <v>34</v>
      </c>
      <c r="B35" s="113" t="s">
        <v>860</v>
      </c>
      <c r="C35" s="113"/>
      <c r="D35" s="113" t="s">
        <v>168</v>
      </c>
      <c r="E35" s="113" t="s">
        <v>79</v>
      </c>
      <c r="F35" s="113"/>
      <c r="G35" s="113" t="s">
        <v>26</v>
      </c>
      <c r="H35" s="113" t="s">
        <v>30</v>
      </c>
      <c r="I35" s="113" t="s">
        <v>83</v>
      </c>
      <c r="J35" s="113" t="s">
        <v>161</v>
      </c>
      <c r="K35" s="112">
        <v>26</v>
      </c>
      <c r="L35" s="112">
        <v>19</v>
      </c>
      <c r="M35" s="112">
        <v>13.5</v>
      </c>
      <c r="N35" s="112">
        <v>10.5</v>
      </c>
      <c r="O35" s="112">
        <f t="shared" si="1"/>
        <v>69</v>
      </c>
      <c r="P35" s="112"/>
    </row>
    <row r="36" spans="1:16" ht="20.100000000000001" customHeight="1">
      <c r="A36" s="156">
        <v>35</v>
      </c>
      <c r="B36" s="113" t="s">
        <v>858</v>
      </c>
      <c r="C36" s="113"/>
      <c r="D36" s="113" t="s">
        <v>168</v>
      </c>
      <c r="E36" s="113" t="s">
        <v>79</v>
      </c>
      <c r="F36" s="113"/>
      <c r="G36" s="113" t="s">
        <v>26</v>
      </c>
      <c r="H36" s="113" t="s">
        <v>122</v>
      </c>
      <c r="I36" s="113" t="s">
        <v>81</v>
      </c>
      <c r="J36" s="113" t="s">
        <v>163</v>
      </c>
      <c r="K36" s="112">
        <v>20</v>
      </c>
      <c r="L36" s="112">
        <v>23.5</v>
      </c>
      <c r="M36" s="112">
        <v>15</v>
      </c>
      <c r="N36" s="112">
        <v>10</v>
      </c>
      <c r="O36" s="112">
        <f t="shared" si="1"/>
        <v>68.5</v>
      </c>
      <c r="P36" s="112"/>
    </row>
    <row r="37" spans="1:16" ht="20.100000000000001" customHeight="1">
      <c r="A37" s="156">
        <v>36</v>
      </c>
      <c r="B37" s="113" t="s">
        <v>1258</v>
      </c>
      <c r="C37" s="155"/>
      <c r="D37" s="155"/>
      <c r="E37" s="155"/>
      <c r="F37" s="155"/>
      <c r="G37" s="113" t="s">
        <v>26</v>
      </c>
      <c r="H37" s="113" t="s">
        <v>1259</v>
      </c>
      <c r="I37" s="155"/>
      <c r="J37" s="155"/>
      <c r="K37" s="113">
        <v>20</v>
      </c>
      <c r="L37" s="113">
        <v>20.5</v>
      </c>
      <c r="M37" s="113">
        <v>13.5</v>
      </c>
      <c r="N37" s="113">
        <v>9</v>
      </c>
      <c r="O37" s="113">
        <f t="shared" si="1"/>
        <v>63</v>
      </c>
      <c r="P37" s="113" t="s">
        <v>1260</v>
      </c>
    </row>
    <row r="38" spans="1:16" ht="20.100000000000001" customHeight="1">
      <c r="A38" s="156">
        <v>37</v>
      </c>
      <c r="B38" s="113" t="s">
        <v>849</v>
      </c>
      <c r="C38" s="113"/>
      <c r="D38" s="113" t="s">
        <v>168</v>
      </c>
      <c r="E38" s="113" t="s">
        <v>79</v>
      </c>
      <c r="F38" s="113"/>
      <c r="G38" s="113" t="s">
        <v>26</v>
      </c>
      <c r="H38" s="113" t="s">
        <v>72</v>
      </c>
      <c r="I38" s="113" t="s">
        <v>81</v>
      </c>
      <c r="J38" s="113" t="s">
        <v>162</v>
      </c>
      <c r="K38" s="112"/>
      <c r="L38" s="112"/>
      <c r="M38" s="112"/>
      <c r="N38" s="112"/>
      <c r="O38" s="112">
        <f t="shared" si="1"/>
        <v>0</v>
      </c>
      <c r="P38" s="112" t="s">
        <v>1276</v>
      </c>
    </row>
    <row r="39" spans="1:16" ht="20.100000000000001" customHeight="1">
      <c r="A39" s="156">
        <v>38</v>
      </c>
      <c r="B39" s="113" t="s">
        <v>850</v>
      </c>
      <c r="C39" s="113"/>
      <c r="D39" s="113" t="s">
        <v>168</v>
      </c>
      <c r="E39" s="113" t="s">
        <v>79</v>
      </c>
      <c r="F39" s="113"/>
      <c r="G39" s="113" t="s">
        <v>26</v>
      </c>
      <c r="H39" s="113" t="s">
        <v>72</v>
      </c>
      <c r="I39" s="113" t="s">
        <v>81</v>
      </c>
      <c r="J39" s="113" t="s">
        <v>162</v>
      </c>
      <c r="K39" s="112"/>
      <c r="L39" s="112"/>
      <c r="M39" s="112"/>
      <c r="N39" s="112"/>
      <c r="O39" s="112">
        <f t="shared" si="1"/>
        <v>0</v>
      </c>
      <c r="P39" s="112" t="s">
        <v>1276</v>
      </c>
    </row>
    <row r="40" spans="1:16" ht="20.100000000000001" customHeight="1">
      <c r="A40" s="156">
        <v>39</v>
      </c>
      <c r="B40" s="113" t="s">
        <v>875</v>
      </c>
      <c r="C40" s="113"/>
      <c r="D40" s="113" t="s">
        <v>168</v>
      </c>
      <c r="E40" s="113" t="s">
        <v>79</v>
      </c>
      <c r="F40" s="113"/>
      <c r="G40" s="113" t="s">
        <v>26</v>
      </c>
      <c r="H40" s="113" t="s">
        <v>60</v>
      </c>
      <c r="I40" s="113" t="s">
        <v>83</v>
      </c>
      <c r="J40" s="113" t="s">
        <v>160</v>
      </c>
      <c r="K40" s="112"/>
      <c r="L40" s="112"/>
      <c r="M40" s="112"/>
      <c r="N40" s="112"/>
      <c r="O40" s="112">
        <f t="shared" si="1"/>
        <v>0</v>
      </c>
      <c r="P40" s="112" t="s">
        <v>1276</v>
      </c>
    </row>
    <row r="41" spans="1:16" ht="20.100000000000001" customHeight="1">
      <c r="A41" s="156">
        <v>40</v>
      </c>
      <c r="B41" s="113" t="s">
        <v>897</v>
      </c>
      <c r="C41" s="113"/>
      <c r="D41" s="113" t="s">
        <v>168</v>
      </c>
      <c r="E41" s="113" t="s">
        <v>79</v>
      </c>
      <c r="F41" s="113"/>
      <c r="G41" s="113" t="s">
        <v>26</v>
      </c>
      <c r="H41" s="113" t="s">
        <v>106</v>
      </c>
      <c r="I41" s="113" t="s">
        <v>83</v>
      </c>
      <c r="J41" s="113" t="s">
        <v>161</v>
      </c>
      <c r="K41" s="112"/>
      <c r="L41" s="112"/>
      <c r="M41" s="112"/>
      <c r="N41" s="112"/>
      <c r="O41" s="112">
        <f t="shared" si="1"/>
        <v>0</v>
      </c>
      <c r="P41" s="112" t="s">
        <v>901</v>
      </c>
    </row>
    <row r="42" spans="1:16" ht="20.100000000000001" customHeight="1">
      <c r="A42" s="156">
        <v>41</v>
      </c>
      <c r="B42" s="108" t="s">
        <v>863</v>
      </c>
      <c r="C42" s="108"/>
      <c r="D42" s="108" t="s">
        <v>168</v>
      </c>
      <c r="E42" s="108" t="s">
        <v>79</v>
      </c>
      <c r="F42" s="108"/>
      <c r="G42" s="108" t="s">
        <v>25</v>
      </c>
      <c r="H42" s="108" t="s">
        <v>53</v>
      </c>
      <c r="I42" s="108" t="s">
        <v>86</v>
      </c>
      <c r="J42" s="108" t="s">
        <v>161</v>
      </c>
      <c r="K42" s="107">
        <v>32</v>
      </c>
      <c r="L42" s="107">
        <v>26.5</v>
      </c>
      <c r="M42" s="107">
        <v>16.5</v>
      </c>
      <c r="N42" s="107">
        <v>12</v>
      </c>
      <c r="O42" s="107">
        <f t="shared" si="1"/>
        <v>87</v>
      </c>
      <c r="P42" s="107"/>
    </row>
    <row r="43" spans="1:16" ht="20.100000000000001" customHeight="1">
      <c r="A43" s="156">
        <v>42</v>
      </c>
      <c r="B43" s="108" t="s">
        <v>894</v>
      </c>
      <c r="C43" s="108"/>
      <c r="D43" s="108" t="s">
        <v>168</v>
      </c>
      <c r="E43" s="108" t="s">
        <v>79</v>
      </c>
      <c r="F43" s="108"/>
      <c r="G43" s="108" t="s">
        <v>25</v>
      </c>
      <c r="H43" s="108" t="s">
        <v>58</v>
      </c>
      <c r="I43" s="108" t="s">
        <v>86</v>
      </c>
      <c r="J43" s="108" t="s">
        <v>162</v>
      </c>
      <c r="K43" s="107">
        <v>32</v>
      </c>
      <c r="L43" s="107">
        <v>24</v>
      </c>
      <c r="M43" s="107">
        <v>17.5</v>
      </c>
      <c r="N43" s="107">
        <v>13</v>
      </c>
      <c r="O43" s="107">
        <f t="shared" si="1"/>
        <v>86.5</v>
      </c>
      <c r="P43" s="107"/>
    </row>
    <row r="44" spans="1:16" ht="20.100000000000001" customHeight="1">
      <c r="A44" s="156">
        <v>43</v>
      </c>
      <c r="B44" s="108" t="s">
        <v>859</v>
      </c>
      <c r="C44" s="108"/>
      <c r="D44" s="108" t="s">
        <v>168</v>
      </c>
      <c r="E44" s="108" t="s">
        <v>79</v>
      </c>
      <c r="F44" s="108"/>
      <c r="G44" s="108" t="s">
        <v>25</v>
      </c>
      <c r="H44" s="108" t="s">
        <v>65</v>
      </c>
      <c r="I44" s="108" t="s">
        <v>86</v>
      </c>
      <c r="J44" s="108" t="s">
        <v>162</v>
      </c>
      <c r="K44" s="107">
        <v>30</v>
      </c>
      <c r="L44" s="107">
        <v>24</v>
      </c>
      <c r="M44" s="107">
        <v>16</v>
      </c>
      <c r="N44" s="107">
        <v>12</v>
      </c>
      <c r="O44" s="107">
        <f t="shared" si="1"/>
        <v>82</v>
      </c>
      <c r="P44" s="107"/>
    </row>
    <row r="45" spans="1:16" ht="20.100000000000001" customHeight="1">
      <c r="A45" s="156">
        <v>44</v>
      </c>
      <c r="B45" s="108" t="s">
        <v>884</v>
      </c>
      <c r="C45" s="108"/>
      <c r="D45" s="108" t="s">
        <v>168</v>
      </c>
      <c r="E45" s="108" t="s">
        <v>79</v>
      </c>
      <c r="F45" s="108"/>
      <c r="G45" s="108" t="s">
        <v>25</v>
      </c>
      <c r="H45" s="108" t="s">
        <v>100</v>
      </c>
      <c r="I45" s="108" t="s">
        <v>86</v>
      </c>
      <c r="J45" s="108" t="s">
        <v>161</v>
      </c>
      <c r="K45" s="107">
        <v>29</v>
      </c>
      <c r="L45" s="107">
        <v>25.5</v>
      </c>
      <c r="M45" s="107">
        <v>15.5</v>
      </c>
      <c r="N45" s="107">
        <v>12</v>
      </c>
      <c r="O45" s="107">
        <f t="shared" si="1"/>
        <v>82</v>
      </c>
      <c r="P45" s="107"/>
    </row>
    <row r="46" spans="1:16" ht="20.100000000000001" customHeight="1">
      <c r="A46" s="156">
        <v>45</v>
      </c>
      <c r="B46" s="108" t="s">
        <v>896</v>
      </c>
      <c r="C46" s="108"/>
      <c r="D46" s="108" t="s">
        <v>168</v>
      </c>
      <c r="E46" s="108" t="s">
        <v>79</v>
      </c>
      <c r="F46" s="108"/>
      <c r="G46" s="108" t="s">
        <v>25</v>
      </c>
      <c r="H46" s="108" t="s">
        <v>40</v>
      </c>
      <c r="I46" s="108" t="s">
        <v>86</v>
      </c>
      <c r="J46" s="108" t="s">
        <v>160</v>
      </c>
      <c r="K46" s="107">
        <v>28</v>
      </c>
      <c r="L46" s="107">
        <v>24</v>
      </c>
      <c r="M46" s="107">
        <v>16</v>
      </c>
      <c r="N46" s="107">
        <v>12.5</v>
      </c>
      <c r="O46" s="107">
        <f t="shared" si="1"/>
        <v>80.5</v>
      </c>
      <c r="P46" s="107"/>
    </row>
    <row r="47" spans="1:16" ht="20.100000000000001" customHeight="1">
      <c r="A47" s="156">
        <v>46</v>
      </c>
      <c r="B47" s="108" t="s">
        <v>876</v>
      </c>
      <c r="C47" s="108"/>
      <c r="D47" s="108" t="s">
        <v>168</v>
      </c>
      <c r="E47" s="108" t="s">
        <v>79</v>
      </c>
      <c r="F47" s="108"/>
      <c r="G47" s="108" t="s">
        <v>25</v>
      </c>
      <c r="H47" s="108" t="s">
        <v>29</v>
      </c>
      <c r="I47" s="108" t="s">
        <v>102</v>
      </c>
      <c r="J47" s="108" t="s">
        <v>160</v>
      </c>
      <c r="K47" s="107">
        <v>33</v>
      </c>
      <c r="L47" s="107">
        <v>24</v>
      </c>
      <c r="M47" s="107">
        <v>14</v>
      </c>
      <c r="N47" s="107">
        <v>7.5</v>
      </c>
      <c r="O47" s="107">
        <f t="shared" si="1"/>
        <v>78.5</v>
      </c>
      <c r="P47" s="107"/>
    </row>
    <row r="48" spans="1:16" ht="20.100000000000001" customHeight="1">
      <c r="A48" s="156">
        <v>47</v>
      </c>
      <c r="B48" s="108" t="s">
        <v>893</v>
      </c>
      <c r="C48" s="108"/>
      <c r="D48" s="108" t="s">
        <v>168</v>
      </c>
      <c r="E48" s="108" t="s">
        <v>79</v>
      </c>
      <c r="F48" s="108"/>
      <c r="G48" s="108" t="s">
        <v>25</v>
      </c>
      <c r="H48" s="108" t="s">
        <v>58</v>
      </c>
      <c r="I48" s="108" t="s">
        <v>86</v>
      </c>
      <c r="J48" s="108" t="s">
        <v>162</v>
      </c>
      <c r="K48" s="107">
        <v>29.5</v>
      </c>
      <c r="L48" s="107">
        <v>21.5</v>
      </c>
      <c r="M48" s="107">
        <v>14</v>
      </c>
      <c r="N48" s="107">
        <v>9</v>
      </c>
      <c r="O48" s="107">
        <f t="shared" si="1"/>
        <v>74</v>
      </c>
      <c r="P48" s="107"/>
    </row>
    <row r="49" spans="1:16" ht="20.100000000000001" customHeight="1">
      <c r="A49" s="156">
        <v>48</v>
      </c>
      <c r="B49" s="108" t="s">
        <v>885</v>
      </c>
      <c r="C49" s="108"/>
      <c r="D49" s="108" t="s">
        <v>168</v>
      </c>
      <c r="E49" s="108" t="s">
        <v>79</v>
      </c>
      <c r="F49" s="108"/>
      <c r="G49" s="108" t="s">
        <v>25</v>
      </c>
      <c r="H49" s="108" t="s">
        <v>137</v>
      </c>
      <c r="I49" s="108" t="s">
        <v>86</v>
      </c>
      <c r="J49" s="108" t="s">
        <v>160</v>
      </c>
      <c r="K49" s="107">
        <v>29.5</v>
      </c>
      <c r="L49" s="107">
        <v>19.5</v>
      </c>
      <c r="M49" s="107">
        <v>14.5</v>
      </c>
      <c r="N49" s="107">
        <v>9.5</v>
      </c>
      <c r="O49" s="107">
        <f t="shared" si="1"/>
        <v>73</v>
      </c>
      <c r="P49" s="107"/>
    </row>
    <row r="50" spans="1:16" ht="20.100000000000001" customHeight="1">
      <c r="A50" s="156">
        <v>49</v>
      </c>
      <c r="B50" s="108" t="s">
        <v>864</v>
      </c>
      <c r="C50" s="108"/>
      <c r="D50" s="108" t="s">
        <v>168</v>
      </c>
      <c r="E50" s="108" t="s">
        <v>79</v>
      </c>
      <c r="F50" s="108"/>
      <c r="G50" s="108" t="s">
        <v>25</v>
      </c>
      <c r="H50" s="108" t="s">
        <v>53</v>
      </c>
      <c r="I50" s="108" t="s">
        <v>83</v>
      </c>
      <c r="J50" s="108" t="s">
        <v>161</v>
      </c>
      <c r="K50" s="107">
        <v>28</v>
      </c>
      <c r="L50" s="107">
        <v>20</v>
      </c>
      <c r="M50" s="107">
        <v>14.5</v>
      </c>
      <c r="N50" s="107">
        <v>9</v>
      </c>
      <c r="O50" s="107">
        <f t="shared" si="1"/>
        <v>71.5</v>
      </c>
      <c r="P50" s="107"/>
    </row>
    <row r="51" spans="1:16" ht="20.100000000000001" customHeight="1">
      <c r="A51" s="156">
        <v>50</v>
      </c>
      <c r="B51" s="108" t="s">
        <v>853</v>
      </c>
      <c r="C51" s="108"/>
      <c r="D51" s="108" t="s">
        <v>168</v>
      </c>
      <c r="E51" s="108" t="s">
        <v>79</v>
      </c>
      <c r="F51" s="108"/>
      <c r="G51" s="108" t="s">
        <v>25</v>
      </c>
      <c r="H51" s="108" t="s">
        <v>69</v>
      </c>
      <c r="I51" s="108" t="s">
        <v>86</v>
      </c>
      <c r="J51" s="108" t="s">
        <v>161</v>
      </c>
      <c r="K51" s="107">
        <v>28</v>
      </c>
      <c r="L51" s="107">
        <v>23.5</v>
      </c>
      <c r="M51" s="107">
        <v>11.5</v>
      </c>
      <c r="N51" s="107">
        <v>7.5</v>
      </c>
      <c r="O51" s="107">
        <f t="shared" si="1"/>
        <v>70.5</v>
      </c>
      <c r="P51" s="107" t="s">
        <v>905</v>
      </c>
    </row>
    <row r="52" spans="1:16" ht="20.100000000000001" customHeight="1">
      <c r="A52" s="156">
        <v>51</v>
      </c>
      <c r="B52" s="108" t="s">
        <v>852</v>
      </c>
      <c r="C52" s="108"/>
      <c r="D52" s="108" t="s">
        <v>168</v>
      </c>
      <c r="E52" s="108" t="s">
        <v>79</v>
      </c>
      <c r="F52" s="108"/>
      <c r="G52" s="108" t="s">
        <v>25</v>
      </c>
      <c r="H52" s="108" t="s">
        <v>69</v>
      </c>
      <c r="I52" s="108" t="s">
        <v>83</v>
      </c>
      <c r="J52" s="108" t="s">
        <v>161</v>
      </c>
      <c r="K52" s="107">
        <v>27.5</v>
      </c>
      <c r="L52" s="107">
        <v>22</v>
      </c>
      <c r="M52" s="107">
        <v>10</v>
      </c>
      <c r="N52" s="107">
        <v>9.5</v>
      </c>
      <c r="O52" s="107">
        <f t="shared" si="1"/>
        <v>69</v>
      </c>
      <c r="P52" s="107"/>
    </row>
    <row r="53" spans="1:16">
      <c r="A53" s="156">
        <v>52</v>
      </c>
      <c r="B53" s="108" t="s">
        <v>869</v>
      </c>
      <c r="C53" s="108"/>
      <c r="D53" s="108" t="s">
        <v>168</v>
      </c>
      <c r="E53" s="108" t="s">
        <v>79</v>
      </c>
      <c r="F53" s="108"/>
      <c r="G53" s="108" t="s">
        <v>25</v>
      </c>
      <c r="H53" s="108" t="s">
        <v>61</v>
      </c>
      <c r="I53" s="108" t="s">
        <v>83</v>
      </c>
      <c r="J53" s="108" t="s">
        <v>162</v>
      </c>
      <c r="K53" s="107">
        <v>27</v>
      </c>
      <c r="L53" s="107">
        <v>19</v>
      </c>
      <c r="M53" s="107">
        <v>14</v>
      </c>
      <c r="N53" s="107">
        <v>8.5</v>
      </c>
      <c r="O53" s="107">
        <f t="shared" si="1"/>
        <v>68.5</v>
      </c>
      <c r="P53" s="107"/>
    </row>
    <row r="54" spans="1:16">
      <c r="A54" s="156">
        <v>53</v>
      </c>
      <c r="B54" s="108" t="s">
        <v>871</v>
      </c>
      <c r="C54" s="108"/>
      <c r="D54" s="108" t="s">
        <v>168</v>
      </c>
      <c r="E54" s="108" t="s">
        <v>79</v>
      </c>
      <c r="F54" s="108"/>
      <c r="G54" s="108" t="s">
        <v>25</v>
      </c>
      <c r="H54" s="108" t="s">
        <v>61</v>
      </c>
      <c r="I54" s="108" t="s">
        <v>83</v>
      </c>
      <c r="J54" s="108" t="s">
        <v>162</v>
      </c>
      <c r="K54" s="114">
        <v>28</v>
      </c>
      <c r="L54" s="114">
        <v>20</v>
      </c>
      <c r="M54" s="114">
        <v>12.5</v>
      </c>
      <c r="N54" s="114">
        <v>8</v>
      </c>
      <c r="O54" s="107">
        <f t="shared" si="1"/>
        <v>68.5</v>
      </c>
      <c r="P54" s="114"/>
    </row>
    <row r="55" spans="1:16">
      <c r="A55" s="156">
        <v>54</v>
      </c>
      <c r="B55" s="108" t="s">
        <v>881</v>
      </c>
      <c r="C55" s="108"/>
      <c r="D55" s="108" t="s">
        <v>168</v>
      </c>
      <c r="E55" s="108" t="s">
        <v>79</v>
      </c>
      <c r="F55" s="108"/>
      <c r="G55" s="108" t="s">
        <v>25</v>
      </c>
      <c r="H55" s="108" t="s">
        <v>55</v>
      </c>
      <c r="I55" s="108" t="s">
        <v>101</v>
      </c>
      <c r="J55" s="108" t="s">
        <v>161</v>
      </c>
      <c r="K55" s="107">
        <v>23</v>
      </c>
      <c r="L55" s="107">
        <v>18.5</v>
      </c>
      <c r="M55" s="107">
        <v>12</v>
      </c>
      <c r="N55" s="107">
        <v>9</v>
      </c>
      <c r="O55" s="107">
        <f t="shared" si="1"/>
        <v>62.5</v>
      </c>
      <c r="P55" s="107" t="s">
        <v>905</v>
      </c>
    </row>
    <row r="56" spans="1:16">
      <c r="A56" s="156">
        <v>55</v>
      </c>
      <c r="B56" s="108" t="s">
        <v>857</v>
      </c>
      <c r="C56" s="108"/>
      <c r="D56" s="108" t="s">
        <v>168</v>
      </c>
      <c r="E56" s="108" t="s">
        <v>79</v>
      </c>
      <c r="F56" s="108"/>
      <c r="G56" s="108" t="s">
        <v>25</v>
      </c>
      <c r="H56" s="108" t="s">
        <v>122</v>
      </c>
      <c r="I56" s="108" t="s">
        <v>81</v>
      </c>
      <c r="J56" s="108" t="s">
        <v>163</v>
      </c>
      <c r="K56" s="107">
        <v>20</v>
      </c>
      <c r="L56" s="107">
        <v>15</v>
      </c>
      <c r="M56" s="107">
        <v>10</v>
      </c>
      <c r="N56" s="107">
        <v>7.5</v>
      </c>
      <c r="O56" s="107">
        <f t="shared" si="1"/>
        <v>52.5</v>
      </c>
      <c r="P56" s="107"/>
    </row>
    <row r="57" spans="1:16">
      <c r="A57" s="156">
        <v>56</v>
      </c>
      <c r="B57" s="108" t="s">
        <v>868</v>
      </c>
      <c r="C57" s="108"/>
      <c r="D57" s="108" t="s">
        <v>168</v>
      </c>
      <c r="E57" s="108" t="s">
        <v>79</v>
      </c>
      <c r="F57" s="108"/>
      <c r="G57" s="108" t="s">
        <v>25</v>
      </c>
      <c r="H57" s="108" t="s">
        <v>62</v>
      </c>
      <c r="I57" s="108"/>
      <c r="J57" s="108" t="s">
        <v>161</v>
      </c>
      <c r="K57" s="107" t="s">
        <v>904</v>
      </c>
      <c r="L57" s="107"/>
      <c r="M57" s="107"/>
      <c r="N57" s="107"/>
      <c r="O57" s="107">
        <f t="shared" si="1"/>
        <v>0</v>
      </c>
      <c r="P57" s="107" t="s">
        <v>1276</v>
      </c>
    </row>
    <row r="58" spans="1:16">
      <c r="A58" s="156">
        <v>57</v>
      </c>
      <c r="B58" s="108" t="s">
        <v>895</v>
      </c>
      <c r="C58" s="108"/>
      <c r="D58" s="108" t="s">
        <v>168</v>
      </c>
      <c r="E58" s="108" t="s">
        <v>79</v>
      </c>
      <c r="F58" s="108"/>
      <c r="G58" s="108" t="s">
        <v>25</v>
      </c>
      <c r="H58" s="108" t="s">
        <v>40</v>
      </c>
      <c r="I58" s="108" t="s">
        <v>81</v>
      </c>
      <c r="J58" s="108" t="s">
        <v>160</v>
      </c>
      <c r="K58" s="107"/>
      <c r="L58" s="107"/>
      <c r="M58" s="107"/>
      <c r="N58" s="107"/>
      <c r="O58" s="107">
        <f t="shared" si="1"/>
        <v>0</v>
      </c>
      <c r="P58" s="107" t="s">
        <v>902</v>
      </c>
    </row>
    <row r="59" spans="1:16">
      <c r="A59"/>
      <c r="B59"/>
      <c r="C59"/>
      <c r="D59"/>
      <c r="E59"/>
      <c r="F59"/>
      <c r="G59"/>
      <c r="H59"/>
      <c r="I59"/>
      <c r="J59"/>
    </row>
    <row r="60" spans="1:16">
      <c r="A60"/>
      <c r="B60"/>
      <c r="C60"/>
      <c r="D60"/>
      <c r="E60"/>
      <c r="F60"/>
      <c r="G60"/>
      <c r="H60"/>
      <c r="I60"/>
      <c r="J60"/>
    </row>
    <row r="61" spans="1:16">
      <c r="A61"/>
      <c r="B61"/>
      <c r="C61"/>
      <c r="D61"/>
      <c r="E61"/>
      <c r="F61"/>
      <c r="G61"/>
      <c r="H61"/>
      <c r="I61"/>
      <c r="J61"/>
    </row>
    <row r="62" spans="1:16">
      <c r="A62"/>
      <c r="B62"/>
      <c r="C62"/>
      <c r="D62"/>
      <c r="E62"/>
      <c r="F62"/>
      <c r="G62"/>
      <c r="H62"/>
      <c r="I62"/>
      <c r="J62"/>
    </row>
    <row r="63" spans="1:16">
      <c r="A63"/>
      <c r="B63"/>
      <c r="C63"/>
      <c r="D63"/>
      <c r="E63"/>
      <c r="F63"/>
      <c r="G63"/>
      <c r="H63"/>
      <c r="I63"/>
      <c r="J63"/>
    </row>
    <row r="64" spans="1:16">
      <c r="A64"/>
      <c r="B64"/>
      <c r="C64"/>
      <c r="D64"/>
      <c r="E64"/>
      <c r="F64"/>
      <c r="G64"/>
      <c r="H64"/>
      <c r="I64"/>
      <c r="J64"/>
    </row>
    <row r="65" spans="1:10">
      <c r="A65"/>
      <c r="B65"/>
      <c r="C65"/>
      <c r="D65"/>
      <c r="E65"/>
      <c r="F65"/>
      <c r="G65"/>
      <c r="H65"/>
      <c r="I65"/>
      <c r="J65"/>
    </row>
    <row r="66" spans="1:10">
      <c r="A66"/>
      <c r="B66"/>
      <c r="C66"/>
      <c r="D66"/>
      <c r="E66"/>
      <c r="F66"/>
      <c r="G66"/>
      <c r="H66"/>
      <c r="I66"/>
      <c r="J66"/>
    </row>
    <row r="67" spans="1:10">
      <c r="A67"/>
      <c r="B67"/>
      <c r="C67"/>
      <c r="D67"/>
      <c r="E67"/>
      <c r="F67"/>
      <c r="G67"/>
      <c r="H67"/>
      <c r="I67"/>
      <c r="J67"/>
    </row>
    <row r="68" spans="1:10">
      <c r="A68"/>
      <c r="B68"/>
      <c r="C68"/>
      <c r="D68"/>
      <c r="E68"/>
      <c r="F68"/>
      <c r="G68"/>
      <c r="H68"/>
      <c r="I68"/>
      <c r="J68"/>
    </row>
    <row r="69" spans="1:10">
      <c r="A69"/>
      <c r="B69"/>
      <c r="C69"/>
      <c r="D69"/>
      <c r="E69"/>
      <c r="F69"/>
      <c r="G69"/>
      <c r="H69"/>
      <c r="I69"/>
      <c r="J69"/>
    </row>
    <row r="70" spans="1:10">
      <c r="A70"/>
      <c r="B70"/>
      <c r="C70"/>
      <c r="D70"/>
      <c r="E70"/>
      <c r="F70"/>
      <c r="G70"/>
      <c r="H70"/>
      <c r="I70"/>
      <c r="J70"/>
    </row>
    <row r="71" spans="1:10">
      <c r="A71"/>
      <c r="B71"/>
      <c r="C71"/>
      <c r="D71"/>
      <c r="E71"/>
      <c r="F71"/>
      <c r="G71"/>
      <c r="H71"/>
      <c r="I71"/>
      <c r="J71"/>
    </row>
    <row r="72" spans="1:10">
      <c r="A72"/>
      <c r="B72"/>
      <c r="C72"/>
      <c r="D72"/>
      <c r="E72"/>
      <c r="F72"/>
      <c r="G72"/>
      <c r="H72"/>
      <c r="I72"/>
      <c r="J72"/>
    </row>
    <row r="73" spans="1:10">
      <c r="A73"/>
      <c r="B73"/>
      <c r="C73"/>
      <c r="D73"/>
      <c r="E73"/>
      <c r="F73"/>
      <c r="G73"/>
      <c r="H73"/>
      <c r="I73"/>
      <c r="J73"/>
    </row>
    <row r="74" spans="1:10">
      <c r="A74"/>
      <c r="B74"/>
      <c r="C74"/>
      <c r="D74"/>
      <c r="E74"/>
      <c r="F74"/>
      <c r="G74"/>
      <c r="H74"/>
      <c r="I74"/>
      <c r="J74"/>
    </row>
    <row r="75" spans="1:10">
      <c r="A75"/>
      <c r="B75"/>
      <c r="C75"/>
      <c r="D75"/>
      <c r="E75"/>
      <c r="F75"/>
      <c r="G75"/>
      <c r="H75"/>
      <c r="I75"/>
      <c r="J75"/>
    </row>
    <row r="76" spans="1:10">
      <c r="A76"/>
      <c r="B76"/>
      <c r="C76"/>
      <c r="D76"/>
      <c r="E76"/>
      <c r="F76"/>
      <c r="G76"/>
      <c r="H76"/>
      <c r="I76"/>
      <c r="J76"/>
    </row>
    <row r="77" spans="1:10">
      <c r="A77"/>
      <c r="B77"/>
      <c r="C77"/>
      <c r="D77"/>
      <c r="E77"/>
      <c r="F77"/>
      <c r="G77"/>
      <c r="H77"/>
      <c r="I77"/>
      <c r="J77"/>
    </row>
    <row r="78" spans="1:10">
      <c r="A78"/>
      <c r="B78"/>
      <c r="C78"/>
      <c r="D78"/>
      <c r="E78"/>
      <c r="F78"/>
      <c r="G78"/>
      <c r="H78"/>
      <c r="I78"/>
      <c r="J78"/>
    </row>
    <row r="79" spans="1:10">
      <c r="A79"/>
      <c r="B79"/>
      <c r="C79"/>
      <c r="D79"/>
      <c r="E79"/>
      <c r="F79"/>
      <c r="G79"/>
      <c r="H79"/>
      <c r="I79"/>
      <c r="J79"/>
    </row>
    <row r="80" spans="1:10">
      <c r="A80"/>
      <c r="B80"/>
      <c r="C80"/>
      <c r="D80"/>
      <c r="E80"/>
      <c r="F80"/>
      <c r="G80"/>
      <c r="H80"/>
      <c r="I80"/>
      <c r="J80"/>
    </row>
    <row r="81" spans="1:10">
      <c r="A81"/>
      <c r="B81"/>
      <c r="C81"/>
      <c r="D81"/>
      <c r="E81"/>
      <c r="F81"/>
      <c r="G81"/>
      <c r="H81"/>
      <c r="I81"/>
      <c r="J81"/>
    </row>
    <row r="82" spans="1:10">
      <c r="A82"/>
      <c r="B82"/>
      <c r="C82"/>
      <c r="D82"/>
      <c r="E82"/>
      <c r="F82"/>
      <c r="G82"/>
      <c r="H82"/>
      <c r="I82"/>
      <c r="J82"/>
    </row>
    <row r="83" spans="1:10">
      <c r="A83"/>
      <c r="B83"/>
      <c r="C83"/>
      <c r="D83"/>
      <c r="E83"/>
      <c r="F83"/>
      <c r="G83"/>
      <c r="H83"/>
      <c r="I83"/>
      <c r="J83"/>
    </row>
    <row r="84" spans="1:10">
      <c r="A84"/>
      <c r="B84"/>
      <c r="C84"/>
      <c r="D84"/>
      <c r="E84"/>
      <c r="F84"/>
      <c r="G84"/>
      <c r="H84"/>
      <c r="I84"/>
      <c r="J84"/>
    </row>
    <row r="85" spans="1:10">
      <c r="A85"/>
      <c r="B85"/>
      <c r="C85"/>
      <c r="D85"/>
      <c r="E85"/>
      <c r="F85"/>
      <c r="G85"/>
      <c r="H85"/>
      <c r="I85"/>
      <c r="J85"/>
    </row>
    <row r="86" spans="1:10">
      <c r="A86"/>
      <c r="B86"/>
      <c r="C86"/>
      <c r="D86"/>
      <c r="E86"/>
      <c r="F86"/>
      <c r="G86"/>
      <c r="H86"/>
      <c r="I86"/>
      <c r="J86"/>
    </row>
    <row r="87" spans="1:10">
      <c r="A87"/>
      <c r="B87"/>
      <c r="C87"/>
      <c r="D87"/>
      <c r="E87"/>
      <c r="F87"/>
      <c r="G87"/>
      <c r="H87"/>
      <c r="I87"/>
      <c r="J87"/>
    </row>
    <row r="88" spans="1:10">
      <c r="A88"/>
      <c r="B88"/>
      <c r="C88"/>
      <c r="D88"/>
      <c r="E88"/>
      <c r="F88"/>
      <c r="G88"/>
      <c r="H88"/>
      <c r="I88"/>
      <c r="J88"/>
    </row>
    <row r="89" spans="1:10">
      <c r="A89"/>
      <c r="B89"/>
      <c r="C89"/>
      <c r="D89"/>
      <c r="E89"/>
      <c r="F89"/>
      <c r="G89"/>
      <c r="H89"/>
      <c r="I89"/>
      <c r="J89"/>
    </row>
    <row r="90" spans="1:10">
      <c r="A90"/>
      <c r="B90"/>
      <c r="C90"/>
      <c r="D90"/>
      <c r="E90"/>
      <c r="F90"/>
      <c r="G90"/>
      <c r="H90"/>
      <c r="I90"/>
      <c r="J90"/>
    </row>
    <row r="91" spans="1:10">
      <c r="A91"/>
      <c r="B91"/>
      <c r="C91"/>
      <c r="D91"/>
      <c r="E91"/>
      <c r="F91"/>
      <c r="G91"/>
      <c r="H91"/>
      <c r="I91"/>
      <c r="J91"/>
    </row>
    <row r="92" spans="1:10">
      <c r="A92"/>
      <c r="B92"/>
      <c r="C92"/>
      <c r="D92"/>
      <c r="E92"/>
      <c r="F92"/>
      <c r="G92"/>
      <c r="H92"/>
      <c r="I92"/>
      <c r="J92"/>
    </row>
    <row r="93" spans="1:10">
      <c r="A93"/>
      <c r="B93"/>
      <c r="C93"/>
      <c r="D93"/>
      <c r="E93"/>
      <c r="F93"/>
      <c r="G93"/>
      <c r="H93"/>
      <c r="I93"/>
      <c r="J93"/>
    </row>
    <row r="94" spans="1:10">
      <c r="A94"/>
      <c r="B94"/>
      <c r="C94"/>
      <c r="D94"/>
      <c r="E94"/>
      <c r="F94"/>
      <c r="G94"/>
      <c r="H94"/>
      <c r="I94"/>
      <c r="J94"/>
    </row>
    <row r="95" spans="1:10">
      <c r="A95"/>
      <c r="B95"/>
      <c r="C95"/>
      <c r="D95"/>
      <c r="E95"/>
      <c r="F95"/>
      <c r="G95"/>
      <c r="H95"/>
      <c r="I95"/>
      <c r="J95"/>
    </row>
    <row r="96" spans="1:10">
      <c r="A96"/>
      <c r="B96"/>
      <c r="C96"/>
      <c r="D96"/>
      <c r="E96"/>
      <c r="F96"/>
      <c r="G96"/>
      <c r="H96"/>
      <c r="I96"/>
      <c r="J96"/>
    </row>
    <row r="97" spans="1:10">
      <c r="A97"/>
      <c r="B97"/>
      <c r="C97"/>
      <c r="D97"/>
      <c r="E97"/>
      <c r="F97"/>
      <c r="G97"/>
      <c r="H97"/>
      <c r="I97"/>
      <c r="J97"/>
    </row>
  </sheetData>
  <sortState ref="A2:Q58">
    <sortCondition ref="Q2:Q58"/>
    <sortCondition descending="1" ref="O2:O58"/>
  </sortState>
  <conditionalFormatting sqref="B1:B17 B19:B36 B38:B53 B98:B1048576">
    <cfRule type="duplicateValues" dxfId="3" priority="50"/>
    <cfRule type="duplicateValues" dxfId="2" priority="51"/>
    <cfRule type="duplicateValues" dxfId="1" priority="52"/>
    <cfRule type="duplicateValues" dxfId="0" priority="53"/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55"/>
  <sheetViews>
    <sheetView rightToLeft="1" zoomScale="85" zoomScaleNormal="85" workbookViewId="0">
      <selection activeCell="H10" sqref="H2:H10"/>
    </sheetView>
  </sheetViews>
  <sheetFormatPr defaultColWidth="8.875" defaultRowHeight="21"/>
  <cols>
    <col min="1" max="2" width="8.875" style="3"/>
    <col min="3" max="3" width="26.125" style="3" customWidth="1"/>
    <col min="4" max="4" width="25.75" style="3" customWidth="1"/>
    <col min="5" max="5" width="14.75" style="3" customWidth="1"/>
    <col min="6" max="7" width="8.875" style="3"/>
    <col min="8" max="8" width="21.25" style="3" customWidth="1"/>
    <col min="9" max="9" width="8.875" style="3"/>
    <col min="10" max="17" width="9" style="3" bestFit="1" customWidth="1"/>
    <col min="18" max="18" width="9.25" style="3" bestFit="1" customWidth="1"/>
    <col min="19" max="19" width="9.375" style="3" bestFit="1" customWidth="1"/>
    <col min="20" max="20" width="26" style="3" customWidth="1"/>
    <col min="21" max="16384" width="8.875" style="3"/>
  </cols>
  <sheetData>
    <row r="1" spans="1:20" ht="63">
      <c r="A1" s="80" t="s">
        <v>0</v>
      </c>
      <c r="B1" s="5" t="s">
        <v>4</v>
      </c>
      <c r="C1" s="5" t="s">
        <v>17</v>
      </c>
      <c r="D1" s="5" t="s">
        <v>1</v>
      </c>
      <c r="E1" s="5" t="s">
        <v>50</v>
      </c>
      <c r="F1" s="80" t="s">
        <v>16</v>
      </c>
      <c r="G1" s="80" t="s">
        <v>15</v>
      </c>
      <c r="H1" s="5" t="s">
        <v>2</v>
      </c>
      <c r="I1" s="5" t="s">
        <v>14</v>
      </c>
      <c r="J1" s="80" t="s">
        <v>45</v>
      </c>
      <c r="K1" s="80" t="s">
        <v>9</v>
      </c>
      <c r="L1" s="80" t="s">
        <v>8</v>
      </c>
      <c r="M1" s="80" t="s">
        <v>7</v>
      </c>
      <c r="N1" s="80" t="s">
        <v>6</v>
      </c>
      <c r="O1" s="80" t="s">
        <v>46</v>
      </c>
      <c r="P1" s="80" t="s">
        <v>47</v>
      </c>
      <c r="Q1" s="80" t="s">
        <v>48</v>
      </c>
      <c r="R1" s="97" t="s">
        <v>1217</v>
      </c>
      <c r="S1" s="80" t="s">
        <v>49</v>
      </c>
      <c r="T1" s="80" t="s">
        <v>18</v>
      </c>
    </row>
    <row r="2" spans="1:20">
      <c r="A2" s="102">
        <v>1</v>
      </c>
      <c r="B2" s="157"/>
      <c r="C2" s="15" t="s">
        <v>29</v>
      </c>
      <c r="D2" s="15" t="s">
        <v>946</v>
      </c>
      <c r="E2" s="15"/>
      <c r="F2" s="15" t="s">
        <v>168</v>
      </c>
      <c r="G2" s="15" t="s">
        <v>79</v>
      </c>
      <c r="H2" s="15"/>
      <c r="I2" s="15" t="s">
        <v>24</v>
      </c>
      <c r="J2" s="157">
        <v>50</v>
      </c>
      <c r="K2" s="157">
        <v>15</v>
      </c>
      <c r="L2" s="157">
        <v>25</v>
      </c>
      <c r="M2" s="157">
        <v>22.5</v>
      </c>
      <c r="N2" s="157">
        <v>14.5</v>
      </c>
      <c r="O2" s="157">
        <f>SUM(K2:N2)</f>
        <v>77</v>
      </c>
      <c r="P2" s="157">
        <f>J2 + K2 + L2+M2+N2</f>
        <v>127</v>
      </c>
      <c r="Q2" s="157">
        <f>70% * J2</f>
        <v>35</v>
      </c>
      <c r="R2" s="157">
        <f xml:space="preserve"> 30% * O2</f>
        <v>23.099999999999998</v>
      </c>
      <c r="S2" s="157">
        <f>R2 + Q2</f>
        <v>58.099999999999994</v>
      </c>
      <c r="T2" s="157"/>
    </row>
    <row r="3" spans="1:20">
      <c r="A3" s="102">
        <v>2</v>
      </c>
      <c r="B3" s="15"/>
      <c r="C3" s="157" t="s">
        <v>80</v>
      </c>
      <c r="D3" s="157" t="s">
        <v>930</v>
      </c>
      <c r="E3" s="98"/>
      <c r="F3" s="157" t="s">
        <v>168</v>
      </c>
      <c r="G3" s="157" t="s">
        <v>79</v>
      </c>
      <c r="H3" s="100"/>
      <c r="I3" s="157" t="s">
        <v>24</v>
      </c>
      <c r="J3" s="15"/>
      <c r="K3" s="15"/>
      <c r="L3" s="15"/>
      <c r="M3" s="15"/>
      <c r="N3" s="15"/>
      <c r="O3" s="157">
        <f>SUM(K3:N3)</f>
        <v>0</v>
      </c>
      <c r="P3" s="157">
        <f>J3 + K3 + L3+M3+N3</f>
        <v>0</v>
      </c>
      <c r="Q3" s="157">
        <f>70% * J3</f>
        <v>0</v>
      </c>
      <c r="R3" s="157">
        <f xml:space="preserve"> 30% * O3</f>
        <v>0</v>
      </c>
      <c r="S3" s="157">
        <f>R3 + Q3</f>
        <v>0</v>
      </c>
      <c r="T3" s="15" t="s">
        <v>1277</v>
      </c>
    </row>
    <row r="4" spans="1:20">
      <c r="A4" s="102">
        <v>3</v>
      </c>
      <c r="B4" s="157"/>
      <c r="C4" s="15" t="s">
        <v>54</v>
      </c>
      <c r="D4" s="15" t="s">
        <v>952</v>
      </c>
      <c r="E4" s="15"/>
      <c r="F4" s="15" t="s">
        <v>168</v>
      </c>
      <c r="G4" s="15" t="s">
        <v>79</v>
      </c>
      <c r="H4" s="15"/>
      <c r="I4" s="15" t="s">
        <v>24</v>
      </c>
      <c r="J4" s="15"/>
      <c r="K4" s="15"/>
      <c r="L4" s="15"/>
      <c r="M4" s="15"/>
      <c r="N4" s="15"/>
      <c r="O4" s="157"/>
      <c r="P4" s="15"/>
      <c r="Q4" s="15"/>
      <c r="R4" s="15"/>
      <c r="S4" s="157"/>
      <c r="T4" s="15" t="s">
        <v>1277</v>
      </c>
    </row>
    <row r="5" spans="1:20">
      <c r="A5" s="102">
        <v>4</v>
      </c>
      <c r="B5" s="157"/>
      <c r="C5" s="15" t="s">
        <v>280</v>
      </c>
      <c r="D5" s="16" t="s">
        <v>962</v>
      </c>
      <c r="E5" s="99"/>
      <c r="F5" s="15" t="s">
        <v>168</v>
      </c>
      <c r="G5" s="15" t="s">
        <v>79</v>
      </c>
      <c r="H5" s="15"/>
      <c r="I5" s="15" t="s">
        <v>24</v>
      </c>
      <c r="J5" s="15"/>
      <c r="K5" s="15"/>
      <c r="L5" s="15"/>
      <c r="M5" s="15"/>
      <c r="N5" s="15"/>
      <c r="O5" s="157"/>
      <c r="P5" s="15"/>
      <c r="Q5" s="15"/>
      <c r="R5" s="15"/>
      <c r="S5" s="157"/>
      <c r="T5" s="15" t="s">
        <v>1277</v>
      </c>
    </row>
    <row r="6" spans="1:20" ht="24">
      <c r="A6" s="102">
        <v>5</v>
      </c>
      <c r="B6" s="160"/>
      <c r="C6" s="110" t="s">
        <v>54</v>
      </c>
      <c r="D6" s="110" t="s">
        <v>953</v>
      </c>
      <c r="E6" s="110"/>
      <c r="F6" s="110" t="s">
        <v>168</v>
      </c>
      <c r="G6" s="110" t="s">
        <v>79</v>
      </c>
      <c r="H6" s="110"/>
      <c r="I6" s="110" t="s">
        <v>26</v>
      </c>
      <c r="J6" s="160">
        <v>100</v>
      </c>
      <c r="K6" s="160">
        <v>15</v>
      </c>
      <c r="L6" s="160">
        <v>30</v>
      </c>
      <c r="M6" s="160">
        <v>23.5</v>
      </c>
      <c r="N6" s="160">
        <v>15.75</v>
      </c>
      <c r="O6" s="160">
        <f t="shared" ref="O6:O37" si="0">SUM(K6:N6)</f>
        <v>84.25</v>
      </c>
      <c r="P6" s="160">
        <f t="shared" ref="P6:P37" si="1">J6 + K6 + L6+M6+N6</f>
        <v>184.25</v>
      </c>
      <c r="Q6" s="160">
        <f t="shared" ref="Q6:Q37" si="2">70% * J6</f>
        <v>70</v>
      </c>
      <c r="R6" s="160">
        <f t="shared" ref="R6:R37" si="3" xml:space="preserve"> 30% * O6</f>
        <v>25.274999999999999</v>
      </c>
      <c r="S6" s="160">
        <f t="shared" ref="S6:S37" si="4">R6 + Q6</f>
        <v>95.275000000000006</v>
      </c>
      <c r="T6" s="110"/>
    </row>
    <row r="7" spans="1:20" ht="24">
      <c r="A7" s="102">
        <v>6</v>
      </c>
      <c r="B7" s="160"/>
      <c r="C7" s="110" t="s">
        <v>58</v>
      </c>
      <c r="D7" s="110" t="s">
        <v>950</v>
      </c>
      <c r="E7" s="110"/>
      <c r="F7" s="110" t="s">
        <v>168</v>
      </c>
      <c r="G7" s="110" t="s">
        <v>79</v>
      </c>
      <c r="H7" s="110"/>
      <c r="I7" s="110" t="s">
        <v>26</v>
      </c>
      <c r="J7" s="110">
        <v>100</v>
      </c>
      <c r="K7" s="110">
        <v>15</v>
      </c>
      <c r="L7" s="110">
        <v>29</v>
      </c>
      <c r="M7" s="110">
        <v>21</v>
      </c>
      <c r="N7" s="160">
        <v>14.5</v>
      </c>
      <c r="O7" s="160">
        <f t="shared" si="0"/>
        <v>79.5</v>
      </c>
      <c r="P7" s="160">
        <f t="shared" si="1"/>
        <v>179.5</v>
      </c>
      <c r="Q7" s="160">
        <f t="shared" si="2"/>
        <v>70</v>
      </c>
      <c r="R7" s="160">
        <f t="shared" si="3"/>
        <v>23.849999999999998</v>
      </c>
      <c r="S7" s="160">
        <f t="shared" si="4"/>
        <v>93.85</v>
      </c>
      <c r="T7" s="160"/>
    </row>
    <row r="8" spans="1:20" ht="24">
      <c r="A8" s="102">
        <v>7</v>
      </c>
      <c r="B8" s="110"/>
      <c r="C8" s="110" t="s">
        <v>72</v>
      </c>
      <c r="D8" s="110" t="s">
        <v>1215</v>
      </c>
      <c r="E8" s="161"/>
      <c r="F8" s="110" t="s">
        <v>168</v>
      </c>
      <c r="G8" s="110" t="s">
        <v>79</v>
      </c>
      <c r="H8" s="162"/>
      <c r="I8" s="160" t="s">
        <v>26</v>
      </c>
      <c r="J8" s="160">
        <v>97</v>
      </c>
      <c r="K8" s="160">
        <v>14.5</v>
      </c>
      <c r="L8" s="160">
        <v>30</v>
      </c>
      <c r="M8" s="160">
        <v>24</v>
      </c>
      <c r="N8" s="160">
        <v>16</v>
      </c>
      <c r="O8" s="160">
        <f t="shared" si="0"/>
        <v>84.5</v>
      </c>
      <c r="P8" s="160">
        <f t="shared" si="1"/>
        <v>181.5</v>
      </c>
      <c r="Q8" s="160">
        <f t="shared" si="2"/>
        <v>67.899999999999991</v>
      </c>
      <c r="R8" s="160">
        <f t="shared" si="3"/>
        <v>25.349999999999998</v>
      </c>
      <c r="S8" s="160">
        <f t="shared" si="4"/>
        <v>93.249999999999986</v>
      </c>
      <c r="T8" s="110"/>
    </row>
    <row r="9" spans="1:20" ht="24">
      <c r="A9" s="102">
        <v>8</v>
      </c>
      <c r="B9" s="160"/>
      <c r="C9" s="110" t="s">
        <v>40</v>
      </c>
      <c r="D9" s="110" t="s">
        <v>969</v>
      </c>
      <c r="E9" s="110"/>
      <c r="F9" s="110" t="s">
        <v>168</v>
      </c>
      <c r="G9" s="110" t="s">
        <v>79</v>
      </c>
      <c r="H9" s="110"/>
      <c r="I9" s="110" t="s">
        <v>26</v>
      </c>
      <c r="J9" s="160">
        <v>100</v>
      </c>
      <c r="K9" s="160">
        <v>14</v>
      </c>
      <c r="L9" s="160">
        <v>25</v>
      </c>
      <c r="M9" s="160">
        <v>22</v>
      </c>
      <c r="N9" s="160">
        <v>14.75</v>
      </c>
      <c r="O9" s="160">
        <f t="shared" si="0"/>
        <v>75.75</v>
      </c>
      <c r="P9" s="160">
        <f t="shared" si="1"/>
        <v>175.75</v>
      </c>
      <c r="Q9" s="160">
        <f t="shared" si="2"/>
        <v>70</v>
      </c>
      <c r="R9" s="160">
        <f t="shared" si="3"/>
        <v>22.724999999999998</v>
      </c>
      <c r="S9" s="160">
        <f t="shared" si="4"/>
        <v>92.724999999999994</v>
      </c>
      <c r="T9" s="160"/>
    </row>
    <row r="10" spans="1:20" ht="24">
      <c r="A10" s="102">
        <v>9</v>
      </c>
      <c r="B10" s="160"/>
      <c r="C10" s="110" t="s">
        <v>113</v>
      </c>
      <c r="D10" s="110" t="s">
        <v>934</v>
      </c>
      <c r="E10" s="110"/>
      <c r="F10" s="110" t="s">
        <v>168</v>
      </c>
      <c r="G10" s="110" t="s">
        <v>79</v>
      </c>
      <c r="H10" s="110"/>
      <c r="I10" s="110" t="s">
        <v>26</v>
      </c>
      <c r="J10" s="160">
        <v>99</v>
      </c>
      <c r="K10" s="160">
        <v>15</v>
      </c>
      <c r="L10" s="160">
        <v>26</v>
      </c>
      <c r="M10" s="160">
        <v>22</v>
      </c>
      <c r="N10" s="160">
        <v>14</v>
      </c>
      <c r="O10" s="160">
        <f t="shared" si="0"/>
        <v>77</v>
      </c>
      <c r="P10" s="160">
        <f t="shared" si="1"/>
        <v>176</v>
      </c>
      <c r="Q10" s="160">
        <f t="shared" si="2"/>
        <v>69.3</v>
      </c>
      <c r="R10" s="160">
        <f t="shared" si="3"/>
        <v>23.099999999999998</v>
      </c>
      <c r="S10" s="160">
        <f t="shared" si="4"/>
        <v>92.399999999999991</v>
      </c>
      <c r="T10" s="160"/>
    </row>
    <row r="11" spans="1:20" ht="24">
      <c r="A11" s="102">
        <v>10</v>
      </c>
      <c r="B11" s="160"/>
      <c r="C11" s="110" t="s">
        <v>132</v>
      </c>
      <c r="D11" s="110" t="s">
        <v>929</v>
      </c>
      <c r="E11" s="110"/>
      <c r="F11" s="110" t="s">
        <v>168</v>
      </c>
      <c r="G11" s="110" t="s">
        <v>79</v>
      </c>
      <c r="H11" s="110"/>
      <c r="I11" s="110" t="s">
        <v>26</v>
      </c>
      <c r="J11" s="160">
        <v>99</v>
      </c>
      <c r="K11" s="160">
        <v>15</v>
      </c>
      <c r="L11" s="160">
        <v>25</v>
      </c>
      <c r="M11" s="160">
        <v>21</v>
      </c>
      <c r="N11" s="160">
        <v>14</v>
      </c>
      <c r="O11" s="160">
        <f t="shared" si="0"/>
        <v>75</v>
      </c>
      <c r="P11" s="160">
        <f t="shared" si="1"/>
        <v>174</v>
      </c>
      <c r="Q11" s="160">
        <f t="shared" si="2"/>
        <v>69.3</v>
      </c>
      <c r="R11" s="160">
        <f t="shared" si="3"/>
        <v>22.5</v>
      </c>
      <c r="S11" s="160">
        <f t="shared" si="4"/>
        <v>91.8</v>
      </c>
      <c r="T11" s="110"/>
    </row>
    <row r="12" spans="1:20" ht="24">
      <c r="A12" s="102">
        <v>11</v>
      </c>
      <c r="B12" s="160"/>
      <c r="C12" s="110" t="s">
        <v>54</v>
      </c>
      <c r="D12" s="110" t="s">
        <v>954</v>
      </c>
      <c r="E12" s="110"/>
      <c r="F12" s="110" t="s">
        <v>168</v>
      </c>
      <c r="G12" s="110" t="s">
        <v>79</v>
      </c>
      <c r="H12" s="110"/>
      <c r="I12" s="110" t="s">
        <v>26</v>
      </c>
      <c r="J12" s="160">
        <v>100</v>
      </c>
      <c r="K12" s="160">
        <v>15</v>
      </c>
      <c r="L12" s="160">
        <v>24</v>
      </c>
      <c r="M12" s="160">
        <v>18</v>
      </c>
      <c r="N12" s="160">
        <v>11</v>
      </c>
      <c r="O12" s="160">
        <f t="shared" si="0"/>
        <v>68</v>
      </c>
      <c r="P12" s="160">
        <f t="shared" si="1"/>
        <v>168</v>
      </c>
      <c r="Q12" s="160">
        <f t="shared" si="2"/>
        <v>70</v>
      </c>
      <c r="R12" s="160">
        <f t="shared" si="3"/>
        <v>20.399999999999999</v>
      </c>
      <c r="S12" s="160">
        <f t="shared" si="4"/>
        <v>90.4</v>
      </c>
      <c r="T12" s="160"/>
    </row>
    <row r="13" spans="1:20" ht="24">
      <c r="A13" s="102">
        <v>12</v>
      </c>
      <c r="B13" s="160"/>
      <c r="C13" s="110" t="s">
        <v>69</v>
      </c>
      <c r="D13" s="110" t="s">
        <v>938</v>
      </c>
      <c r="E13" s="110"/>
      <c r="F13" s="110" t="s">
        <v>168</v>
      </c>
      <c r="G13" s="110" t="s">
        <v>79</v>
      </c>
      <c r="H13" s="110"/>
      <c r="I13" s="110" t="s">
        <v>26</v>
      </c>
      <c r="J13" s="160">
        <v>97</v>
      </c>
      <c r="K13" s="160">
        <v>15</v>
      </c>
      <c r="L13" s="160">
        <v>25</v>
      </c>
      <c r="M13" s="160">
        <v>21.5</v>
      </c>
      <c r="N13" s="160">
        <v>13</v>
      </c>
      <c r="O13" s="160">
        <f t="shared" si="0"/>
        <v>74.5</v>
      </c>
      <c r="P13" s="160">
        <f t="shared" si="1"/>
        <v>171.5</v>
      </c>
      <c r="Q13" s="160">
        <f t="shared" si="2"/>
        <v>67.899999999999991</v>
      </c>
      <c r="R13" s="160">
        <f t="shared" si="3"/>
        <v>22.349999999999998</v>
      </c>
      <c r="S13" s="160">
        <f t="shared" si="4"/>
        <v>90.249999999999986</v>
      </c>
      <c r="T13" s="160"/>
    </row>
    <row r="14" spans="1:20" ht="24">
      <c r="A14" s="102">
        <v>13</v>
      </c>
      <c r="B14" s="160"/>
      <c r="C14" s="110" t="s">
        <v>99</v>
      </c>
      <c r="D14" s="110" t="s">
        <v>947</v>
      </c>
      <c r="E14" s="110"/>
      <c r="F14" s="110" t="s">
        <v>168</v>
      </c>
      <c r="G14" s="110" t="s">
        <v>79</v>
      </c>
      <c r="H14" s="110"/>
      <c r="I14" s="110" t="s">
        <v>26</v>
      </c>
      <c r="J14" s="160">
        <v>99</v>
      </c>
      <c r="K14" s="160">
        <v>15</v>
      </c>
      <c r="L14" s="160">
        <v>21</v>
      </c>
      <c r="M14" s="160">
        <v>20.75</v>
      </c>
      <c r="N14" s="160">
        <v>12.5</v>
      </c>
      <c r="O14" s="160">
        <f t="shared" si="0"/>
        <v>69.25</v>
      </c>
      <c r="P14" s="160">
        <f t="shared" si="1"/>
        <v>168.25</v>
      </c>
      <c r="Q14" s="160">
        <f t="shared" si="2"/>
        <v>69.3</v>
      </c>
      <c r="R14" s="160">
        <f t="shared" si="3"/>
        <v>20.774999999999999</v>
      </c>
      <c r="S14" s="160">
        <f t="shared" si="4"/>
        <v>90.074999999999989</v>
      </c>
      <c r="T14" s="160"/>
    </row>
    <row r="15" spans="1:20" ht="24">
      <c r="A15" s="102">
        <v>14</v>
      </c>
      <c r="B15" s="110"/>
      <c r="C15" s="110" t="s">
        <v>113</v>
      </c>
      <c r="D15" s="110" t="s">
        <v>935</v>
      </c>
      <c r="E15" s="110"/>
      <c r="F15" s="110" t="s">
        <v>168</v>
      </c>
      <c r="G15" s="110" t="s">
        <v>79</v>
      </c>
      <c r="H15" s="110"/>
      <c r="I15" s="110" t="s">
        <v>26</v>
      </c>
      <c r="J15" s="110">
        <v>98</v>
      </c>
      <c r="K15" s="110">
        <v>15</v>
      </c>
      <c r="L15" s="110">
        <v>22</v>
      </c>
      <c r="M15" s="110">
        <v>21</v>
      </c>
      <c r="N15" s="160">
        <v>13</v>
      </c>
      <c r="O15" s="160">
        <f t="shared" si="0"/>
        <v>71</v>
      </c>
      <c r="P15" s="160">
        <f t="shared" si="1"/>
        <v>169</v>
      </c>
      <c r="Q15" s="160">
        <f t="shared" si="2"/>
        <v>68.599999999999994</v>
      </c>
      <c r="R15" s="160">
        <f t="shared" si="3"/>
        <v>21.3</v>
      </c>
      <c r="S15" s="160">
        <f t="shared" si="4"/>
        <v>89.899999999999991</v>
      </c>
      <c r="T15" s="110"/>
    </row>
    <row r="16" spans="1:20" ht="24">
      <c r="A16" s="102">
        <v>15</v>
      </c>
      <c r="B16" s="160"/>
      <c r="C16" s="110" t="s">
        <v>64</v>
      </c>
      <c r="D16" s="110" t="s">
        <v>942</v>
      </c>
      <c r="E16" s="110"/>
      <c r="F16" s="110" t="s">
        <v>168</v>
      </c>
      <c r="G16" s="110" t="s">
        <v>79</v>
      </c>
      <c r="H16" s="110"/>
      <c r="I16" s="110" t="s">
        <v>26</v>
      </c>
      <c r="J16" s="160">
        <v>97</v>
      </c>
      <c r="K16" s="160">
        <v>14.5</v>
      </c>
      <c r="L16" s="160">
        <v>25</v>
      </c>
      <c r="M16" s="160">
        <v>21</v>
      </c>
      <c r="N16" s="160">
        <v>12.75</v>
      </c>
      <c r="O16" s="160">
        <f t="shared" si="0"/>
        <v>73.25</v>
      </c>
      <c r="P16" s="160">
        <f t="shared" si="1"/>
        <v>170.25</v>
      </c>
      <c r="Q16" s="160">
        <f t="shared" si="2"/>
        <v>67.899999999999991</v>
      </c>
      <c r="R16" s="160">
        <f t="shared" si="3"/>
        <v>21.974999999999998</v>
      </c>
      <c r="S16" s="160">
        <f t="shared" si="4"/>
        <v>89.874999999999986</v>
      </c>
      <c r="T16" s="160"/>
    </row>
    <row r="17" spans="1:21" ht="24">
      <c r="A17" s="102">
        <v>16</v>
      </c>
      <c r="B17" s="160"/>
      <c r="C17" s="110" t="s">
        <v>120</v>
      </c>
      <c r="D17" s="110" t="s">
        <v>937</v>
      </c>
      <c r="E17" s="110"/>
      <c r="F17" s="110" t="s">
        <v>168</v>
      </c>
      <c r="G17" s="110" t="s">
        <v>79</v>
      </c>
      <c r="H17" s="110"/>
      <c r="I17" s="110" t="s">
        <v>26</v>
      </c>
      <c r="J17" s="160">
        <v>98</v>
      </c>
      <c r="K17" s="160">
        <v>15</v>
      </c>
      <c r="L17" s="160">
        <v>22</v>
      </c>
      <c r="M17" s="160">
        <v>21</v>
      </c>
      <c r="N17" s="160">
        <v>12.75</v>
      </c>
      <c r="O17" s="160">
        <f t="shared" si="0"/>
        <v>70.75</v>
      </c>
      <c r="P17" s="160">
        <f t="shared" si="1"/>
        <v>168.75</v>
      </c>
      <c r="Q17" s="160">
        <f t="shared" si="2"/>
        <v>68.599999999999994</v>
      </c>
      <c r="R17" s="160">
        <f t="shared" si="3"/>
        <v>21.224999999999998</v>
      </c>
      <c r="S17" s="160">
        <f t="shared" si="4"/>
        <v>89.824999999999989</v>
      </c>
      <c r="T17" s="160"/>
    </row>
    <row r="18" spans="1:21" ht="24">
      <c r="A18" s="102">
        <v>17</v>
      </c>
      <c r="B18" s="160"/>
      <c r="C18" s="110" t="s">
        <v>53</v>
      </c>
      <c r="D18" s="110" t="s">
        <v>959</v>
      </c>
      <c r="E18" s="110"/>
      <c r="F18" s="110" t="s">
        <v>168</v>
      </c>
      <c r="G18" s="110" t="s">
        <v>79</v>
      </c>
      <c r="H18" s="110"/>
      <c r="I18" s="110" t="s">
        <v>26</v>
      </c>
      <c r="J18" s="110">
        <v>96</v>
      </c>
      <c r="K18" s="110">
        <v>15</v>
      </c>
      <c r="L18" s="110">
        <v>23</v>
      </c>
      <c r="M18" s="110">
        <v>20.5</v>
      </c>
      <c r="N18" s="160">
        <v>13</v>
      </c>
      <c r="O18" s="160">
        <f t="shared" si="0"/>
        <v>71.5</v>
      </c>
      <c r="P18" s="160">
        <f t="shared" si="1"/>
        <v>167.5</v>
      </c>
      <c r="Q18" s="160">
        <f t="shared" si="2"/>
        <v>67.199999999999989</v>
      </c>
      <c r="R18" s="160">
        <f t="shared" si="3"/>
        <v>21.45</v>
      </c>
      <c r="S18" s="160">
        <f t="shared" si="4"/>
        <v>88.649999999999991</v>
      </c>
      <c r="T18" s="160"/>
    </row>
    <row r="19" spans="1:21" ht="24">
      <c r="A19" s="102">
        <v>18</v>
      </c>
      <c r="B19" s="160"/>
      <c r="C19" s="110" t="s">
        <v>280</v>
      </c>
      <c r="D19" s="110" t="s">
        <v>964</v>
      </c>
      <c r="E19" s="110"/>
      <c r="F19" s="110" t="s">
        <v>168</v>
      </c>
      <c r="G19" s="110" t="s">
        <v>79</v>
      </c>
      <c r="H19" s="110"/>
      <c r="I19" s="110" t="s">
        <v>26</v>
      </c>
      <c r="J19" s="160">
        <v>93.5</v>
      </c>
      <c r="K19" s="160">
        <v>15</v>
      </c>
      <c r="L19" s="160">
        <v>27</v>
      </c>
      <c r="M19" s="160">
        <v>21</v>
      </c>
      <c r="N19" s="160">
        <v>14</v>
      </c>
      <c r="O19" s="160">
        <f t="shared" si="0"/>
        <v>77</v>
      </c>
      <c r="P19" s="160">
        <f t="shared" si="1"/>
        <v>170.5</v>
      </c>
      <c r="Q19" s="160">
        <f t="shared" si="2"/>
        <v>65.45</v>
      </c>
      <c r="R19" s="160">
        <f t="shared" si="3"/>
        <v>23.099999999999998</v>
      </c>
      <c r="S19" s="160">
        <f t="shared" si="4"/>
        <v>88.55</v>
      </c>
      <c r="T19" s="160"/>
    </row>
    <row r="20" spans="1:21" ht="24">
      <c r="A20" s="102">
        <v>19</v>
      </c>
      <c r="B20" s="110"/>
      <c r="C20" s="110" t="s">
        <v>1222</v>
      </c>
      <c r="D20" s="110" t="s">
        <v>1248</v>
      </c>
      <c r="E20" s="162"/>
      <c r="F20" s="110" t="s">
        <v>168</v>
      </c>
      <c r="G20" s="110" t="s">
        <v>79</v>
      </c>
      <c r="H20" s="162"/>
      <c r="I20" s="110" t="s">
        <v>26</v>
      </c>
      <c r="J20" s="110">
        <v>93.5</v>
      </c>
      <c r="K20" s="110">
        <v>15</v>
      </c>
      <c r="L20" s="110">
        <v>25</v>
      </c>
      <c r="M20" s="110">
        <v>21</v>
      </c>
      <c r="N20" s="160">
        <v>14</v>
      </c>
      <c r="O20" s="160">
        <f t="shared" si="0"/>
        <v>75</v>
      </c>
      <c r="P20" s="160">
        <f t="shared" si="1"/>
        <v>168.5</v>
      </c>
      <c r="Q20" s="160">
        <f t="shared" si="2"/>
        <v>65.45</v>
      </c>
      <c r="R20" s="160">
        <f t="shared" si="3"/>
        <v>22.5</v>
      </c>
      <c r="S20" s="160">
        <f t="shared" si="4"/>
        <v>87.95</v>
      </c>
      <c r="T20" s="110"/>
    </row>
    <row r="21" spans="1:21" ht="24">
      <c r="A21" s="102">
        <v>20</v>
      </c>
      <c r="B21" s="110"/>
      <c r="C21" s="110" t="s">
        <v>52</v>
      </c>
      <c r="D21" s="110" t="s">
        <v>965</v>
      </c>
      <c r="E21" s="110"/>
      <c r="F21" s="110" t="s">
        <v>168</v>
      </c>
      <c r="G21" s="110" t="s">
        <v>79</v>
      </c>
      <c r="H21" s="110"/>
      <c r="I21" s="110" t="s">
        <v>26</v>
      </c>
      <c r="J21" s="160">
        <v>99</v>
      </c>
      <c r="K21" s="160">
        <v>15</v>
      </c>
      <c r="L21" s="160">
        <v>15</v>
      </c>
      <c r="M21" s="160">
        <v>13</v>
      </c>
      <c r="N21" s="160">
        <v>8</v>
      </c>
      <c r="O21" s="160">
        <f t="shared" si="0"/>
        <v>51</v>
      </c>
      <c r="P21" s="160">
        <f t="shared" si="1"/>
        <v>150</v>
      </c>
      <c r="Q21" s="160">
        <f t="shared" si="2"/>
        <v>69.3</v>
      </c>
      <c r="R21" s="160">
        <f t="shared" si="3"/>
        <v>15.299999999999999</v>
      </c>
      <c r="S21" s="160">
        <f t="shared" si="4"/>
        <v>84.6</v>
      </c>
      <c r="T21" s="110"/>
    </row>
    <row r="22" spans="1:21" ht="24">
      <c r="A22" s="102">
        <v>21</v>
      </c>
      <c r="B22" s="110"/>
      <c r="C22" s="110" t="s">
        <v>1245</v>
      </c>
      <c r="D22" s="110" t="s">
        <v>1185</v>
      </c>
      <c r="E22" s="162"/>
      <c r="F22" s="110" t="s">
        <v>168</v>
      </c>
      <c r="G22" s="110" t="s">
        <v>79</v>
      </c>
      <c r="H22" s="162"/>
      <c r="I22" s="161" t="s">
        <v>26</v>
      </c>
      <c r="J22" s="110">
        <v>86</v>
      </c>
      <c r="K22" s="110">
        <v>15</v>
      </c>
      <c r="L22" s="110">
        <v>20</v>
      </c>
      <c r="M22" s="110">
        <v>21</v>
      </c>
      <c r="N22" s="110">
        <v>13.75</v>
      </c>
      <c r="O22" s="110">
        <f t="shared" si="0"/>
        <v>69.75</v>
      </c>
      <c r="P22" s="110">
        <f t="shared" si="1"/>
        <v>155.75</v>
      </c>
      <c r="Q22" s="110">
        <f t="shared" si="2"/>
        <v>60.199999999999996</v>
      </c>
      <c r="R22" s="110">
        <f t="shared" si="3"/>
        <v>20.925000000000001</v>
      </c>
      <c r="S22" s="110">
        <f t="shared" si="4"/>
        <v>81.125</v>
      </c>
      <c r="T22" s="110"/>
    </row>
    <row r="23" spans="1:21" ht="24">
      <c r="A23" s="102">
        <v>22</v>
      </c>
      <c r="B23" s="160"/>
      <c r="C23" s="110" t="s">
        <v>30</v>
      </c>
      <c r="D23" s="110" t="s">
        <v>941</v>
      </c>
      <c r="E23" s="110"/>
      <c r="F23" s="110" t="s">
        <v>168</v>
      </c>
      <c r="G23" s="110" t="s">
        <v>79</v>
      </c>
      <c r="H23" s="110"/>
      <c r="I23" s="110" t="s">
        <v>26</v>
      </c>
      <c r="J23" s="110">
        <v>78.5</v>
      </c>
      <c r="K23" s="110">
        <v>15</v>
      </c>
      <c r="L23" s="110">
        <v>25</v>
      </c>
      <c r="M23" s="110">
        <v>21.5</v>
      </c>
      <c r="N23" s="160">
        <v>14</v>
      </c>
      <c r="O23" s="160">
        <f t="shared" si="0"/>
        <v>75.5</v>
      </c>
      <c r="P23" s="160">
        <f t="shared" si="1"/>
        <v>154</v>
      </c>
      <c r="Q23" s="160">
        <f t="shared" si="2"/>
        <v>54.949999999999996</v>
      </c>
      <c r="R23" s="160">
        <f t="shared" si="3"/>
        <v>22.65</v>
      </c>
      <c r="S23" s="160">
        <f t="shared" si="4"/>
        <v>77.599999999999994</v>
      </c>
      <c r="T23" s="110"/>
    </row>
    <row r="24" spans="1:21" ht="24">
      <c r="A24" s="102">
        <v>23</v>
      </c>
      <c r="B24" s="160"/>
      <c r="C24" s="110" t="s">
        <v>926</v>
      </c>
      <c r="D24" s="110" t="s">
        <v>925</v>
      </c>
      <c r="E24" s="110"/>
      <c r="F24" s="110" t="s">
        <v>168</v>
      </c>
      <c r="G24" s="110" t="s">
        <v>79</v>
      </c>
      <c r="H24" s="110"/>
      <c r="I24" s="110" t="s">
        <v>26</v>
      </c>
      <c r="J24" s="110"/>
      <c r="K24" s="110"/>
      <c r="L24" s="110"/>
      <c r="M24" s="160"/>
      <c r="N24" s="160"/>
      <c r="O24" s="160">
        <f t="shared" si="0"/>
        <v>0</v>
      </c>
      <c r="P24" s="160">
        <f t="shared" si="1"/>
        <v>0</v>
      </c>
      <c r="Q24" s="160">
        <f t="shared" si="2"/>
        <v>0</v>
      </c>
      <c r="R24" s="160">
        <f t="shared" si="3"/>
        <v>0</v>
      </c>
      <c r="S24" s="160">
        <f t="shared" si="4"/>
        <v>0</v>
      </c>
      <c r="T24" s="160" t="s">
        <v>1277</v>
      </c>
    </row>
    <row r="25" spans="1:21" ht="24">
      <c r="A25" s="102">
        <v>24</v>
      </c>
      <c r="B25" s="160"/>
      <c r="C25" s="110" t="s">
        <v>58</v>
      </c>
      <c r="D25" s="110" t="s">
        <v>949</v>
      </c>
      <c r="E25" s="110"/>
      <c r="F25" s="110" t="s">
        <v>168</v>
      </c>
      <c r="G25" s="110" t="s">
        <v>79</v>
      </c>
      <c r="H25" s="110"/>
      <c r="I25" s="110" t="s">
        <v>26</v>
      </c>
      <c r="J25" s="110"/>
      <c r="K25" s="110"/>
      <c r="L25" s="110"/>
      <c r="M25" s="160"/>
      <c r="N25" s="160"/>
      <c r="O25" s="160">
        <f t="shared" si="0"/>
        <v>0</v>
      </c>
      <c r="P25" s="160">
        <f t="shared" si="1"/>
        <v>0</v>
      </c>
      <c r="Q25" s="160">
        <f t="shared" si="2"/>
        <v>0</v>
      </c>
      <c r="R25" s="160">
        <f t="shared" si="3"/>
        <v>0</v>
      </c>
      <c r="S25" s="160">
        <f t="shared" si="4"/>
        <v>0</v>
      </c>
      <c r="T25" s="160" t="s">
        <v>1277</v>
      </c>
    </row>
    <row r="26" spans="1:21" ht="24">
      <c r="A26" s="102">
        <v>25</v>
      </c>
      <c r="B26" s="18"/>
      <c r="C26" s="19" t="s">
        <v>127</v>
      </c>
      <c r="D26" s="19" t="s">
        <v>966</v>
      </c>
      <c r="E26" s="19"/>
      <c r="F26" s="19" t="s">
        <v>168</v>
      </c>
      <c r="G26" s="19" t="s">
        <v>103</v>
      </c>
      <c r="H26" s="19"/>
      <c r="I26" s="19" t="s">
        <v>26</v>
      </c>
      <c r="J26" s="18"/>
      <c r="K26" s="19"/>
      <c r="L26" s="19"/>
      <c r="M26" s="18"/>
      <c r="N26" s="18"/>
      <c r="O26" s="83">
        <f t="shared" si="0"/>
        <v>0</v>
      </c>
      <c r="P26" s="83">
        <f t="shared" si="1"/>
        <v>0</v>
      </c>
      <c r="Q26" s="83">
        <f t="shared" si="2"/>
        <v>0</v>
      </c>
      <c r="R26" s="83">
        <f t="shared" si="3"/>
        <v>0</v>
      </c>
      <c r="S26" s="83">
        <f t="shared" si="4"/>
        <v>0</v>
      </c>
      <c r="T26" s="160" t="s">
        <v>1277</v>
      </c>
    </row>
    <row r="27" spans="1:21" ht="24">
      <c r="A27" s="102">
        <v>26</v>
      </c>
      <c r="B27" s="83"/>
      <c r="C27" s="18" t="s">
        <v>80</v>
      </c>
      <c r="D27" s="18" t="s">
        <v>931</v>
      </c>
      <c r="E27" s="18"/>
      <c r="F27" s="18" t="s">
        <v>168</v>
      </c>
      <c r="G27" s="18" t="s">
        <v>79</v>
      </c>
      <c r="H27" s="18"/>
      <c r="I27" s="18" t="s">
        <v>26</v>
      </c>
      <c r="J27" s="18"/>
      <c r="K27" s="18"/>
      <c r="L27" s="18"/>
      <c r="M27" s="83"/>
      <c r="N27" s="83"/>
      <c r="O27" s="83">
        <f t="shared" si="0"/>
        <v>0</v>
      </c>
      <c r="P27" s="83">
        <f t="shared" si="1"/>
        <v>0</v>
      </c>
      <c r="Q27" s="83">
        <f t="shared" si="2"/>
        <v>0</v>
      </c>
      <c r="R27" s="83">
        <f t="shared" si="3"/>
        <v>0</v>
      </c>
      <c r="S27" s="83">
        <f t="shared" si="4"/>
        <v>0</v>
      </c>
      <c r="T27" s="160" t="s">
        <v>1277</v>
      </c>
    </row>
    <row r="28" spans="1:21" ht="24">
      <c r="A28" s="102">
        <v>27</v>
      </c>
      <c r="B28" s="18"/>
      <c r="C28" s="18" t="s">
        <v>106</v>
      </c>
      <c r="D28" s="18" t="s">
        <v>968</v>
      </c>
      <c r="E28" s="18"/>
      <c r="F28" s="18" t="s">
        <v>168</v>
      </c>
      <c r="G28" s="18" t="s">
        <v>79</v>
      </c>
      <c r="H28" s="18"/>
      <c r="I28" s="18" t="s">
        <v>26</v>
      </c>
      <c r="J28" s="18"/>
      <c r="K28" s="18"/>
      <c r="L28" s="18"/>
      <c r="M28" s="18"/>
      <c r="N28" s="18"/>
      <c r="O28" s="83">
        <f t="shared" si="0"/>
        <v>0</v>
      </c>
      <c r="P28" s="83">
        <f t="shared" si="1"/>
        <v>0</v>
      </c>
      <c r="Q28" s="83">
        <f t="shared" si="2"/>
        <v>0</v>
      </c>
      <c r="R28" s="83">
        <f t="shared" si="3"/>
        <v>0</v>
      </c>
      <c r="S28" s="83">
        <f t="shared" si="4"/>
        <v>0</v>
      </c>
      <c r="T28" s="160" t="s">
        <v>1277</v>
      </c>
    </row>
    <row r="29" spans="1:21" ht="24">
      <c r="A29" s="102">
        <v>28</v>
      </c>
      <c r="B29" s="83"/>
      <c r="C29" s="18" t="s">
        <v>280</v>
      </c>
      <c r="D29" s="18" t="s">
        <v>963</v>
      </c>
      <c r="E29" s="32"/>
      <c r="F29" s="18" t="s">
        <v>168</v>
      </c>
      <c r="G29" s="18" t="s">
        <v>79</v>
      </c>
      <c r="H29" s="32"/>
      <c r="I29" s="18" t="s">
        <v>26</v>
      </c>
      <c r="J29" s="18"/>
      <c r="K29" s="18"/>
      <c r="L29" s="18"/>
      <c r="M29" s="83"/>
      <c r="N29" s="83"/>
      <c r="O29" s="83">
        <f t="shared" si="0"/>
        <v>0</v>
      </c>
      <c r="P29" s="83">
        <f t="shared" si="1"/>
        <v>0</v>
      </c>
      <c r="Q29" s="83">
        <f t="shared" si="2"/>
        <v>0</v>
      </c>
      <c r="R29" s="83">
        <f t="shared" si="3"/>
        <v>0</v>
      </c>
      <c r="S29" s="83">
        <f t="shared" si="4"/>
        <v>0</v>
      </c>
      <c r="T29" s="160" t="s">
        <v>1277</v>
      </c>
    </row>
    <row r="30" spans="1:21" ht="24">
      <c r="A30" s="102">
        <v>29</v>
      </c>
      <c r="B30" s="83"/>
      <c r="C30" s="18" t="s">
        <v>53</v>
      </c>
      <c r="D30" s="18" t="s">
        <v>960</v>
      </c>
      <c r="E30" s="18"/>
      <c r="F30" s="18" t="s">
        <v>168</v>
      </c>
      <c r="G30" s="18" t="s">
        <v>79</v>
      </c>
      <c r="H30" s="18"/>
      <c r="I30" s="18" t="s">
        <v>26</v>
      </c>
      <c r="J30" s="18"/>
      <c r="K30" s="18"/>
      <c r="L30" s="18"/>
      <c r="M30" s="18"/>
      <c r="N30" s="18"/>
      <c r="O30" s="83">
        <f t="shared" si="0"/>
        <v>0</v>
      </c>
      <c r="P30" s="83">
        <f t="shared" si="1"/>
        <v>0</v>
      </c>
      <c r="Q30" s="83">
        <f t="shared" si="2"/>
        <v>0</v>
      </c>
      <c r="R30" s="83">
        <f t="shared" si="3"/>
        <v>0</v>
      </c>
      <c r="S30" s="83">
        <f t="shared" si="4"/>
        <v>0</v>
      </c>
      <c r="T30" s="160" t="s">
        <v>1277</v>
      </c>
    </row>
    <row r="31" spans="1:21" ht="24">
      <c r="A31" s="102">
        <v>30</v>
      </c>
      <c r="B31" s="83"/>
      <c r="C31" s="18" t="s">
        <v>87</v>
      </c>
      <c r="D31" s="18" t="s">
        <v>936</v>
      </c>
      <c r="E31" s="18"/>
      <c r="F31" s="18" t="s">
        <v>168</v>
      </c>
      <c r="G31" s="18" t="s">
        <v>79</v>
      </c>
      <c r="H31" s="18"/>
      <c r="I31" s="18" t="s">
        <v>26</v>
      </c>
      <c r="J31" s="18"/>
      <c r="K31" s="18"/>
      <c r="L31" s="18"/>
      <c r="M31" s="83"/>
      <c r="N31" s="83"/>
      <c r="O31" s="83">
        <f t="shared" si="0"/>
        <v>0</v>
      </c>
      <c r="P31" s="83">
        <f t="shared" si="1"/>
        <v>0</v>
      </c>
      <c r="Q31" s="83">
        <f t="shared" si="2"/>
        <v>0</v>
      </c>
      <c r="R31" s="83">
        <f t="shared" si="3"/>
        <v>0</v>
      </c>
      <c r="S31" s="83">
        <f t="shared" si="4"/>
        <v>0</v>
      </c>
      <c r="T31" s="160" t="s">
        <v>1277</v>
      </c>
    </row>
    <row r="32" spans="1:21" s="101" customFormat="1" ht="24">
      <c r="A32" s="102">
        <v>31</v>
      </c>
      <c r="B32" s="83"/>
      <c r="C32" s="18" t="s">
        <v>106</v>
      </c>
      <c r="D32" s="18" t="s">
        <v>967</v>
      </c>
      <c r="E32" s="18"/>
      <c r="F32" s="18" t="s">
        <v>168</v>
      </c>
      <c r="G32" s="18" t="s">
        <v>79</v>
      </c>
      <c r="H32" s="18"/>
      <c r="I32" s="18" t="s">
        <v>26</v>
      </c>
      <c r="J32" s="18"/>
      <c r="K32" s="18"/>
      <c r="L32" s="18"/>
      <c r="M32" s="83"/>
      <c r="N32" s="83"/>
      <c r="O32" s="83">
        <f t="shared" si="0"/>
        <v>0</v>
      </c>
      <c r="P32" s="83">
        <f t="shared" si="1"/>
        <v>0</v>
      </c>
      <c r="Q32" s="83">
        <f t="shared" si="2"/>
        <v>0</v>
      </c>
      <c r="R32" s="83">
        <f t="shared" si="3"/>
        <v>0</v>
      </c>
      <c r="S32" s="83">
        <f t="shared" si="4"/>
        <v>0</v>
      </c>
      <c r="T32" s="160" t="s">
        <v>1277</v>
      </c>
      <c r="U32" s="3"/>
    </row>
    <row r="33" spans="1:20" ht="24">
      <c r="A33" s="102">
        <v>32</v>
      </c>
      <c r="B33" s="164"/>
      <c r="C33" s="165" t="s">
        <v>1243</v>
      </c>
      <c r="D33" s="165" t="s">
        <v>1212</v>
      </c>
      <c r="E33" s="165"/>
      <c r="F33" s="165" t="s">
        <v>168</v>
      </c>
      <c r="G33" s="165" t="s">
        <v>79</v>
      </c>
      <c r="H33" s="166"/>
      <c r="I33" s="165" t="s">
        <v>25</v>
      </c>
      <c r="J33" s="166">
        <v>100</v>
      </c>
      <c r="K33" s="166">
        <v>15</v>
      </c>
      <c r="L33" s="166">
        <v>27</v>
      </c>
      <c r="M33" s="166">
        <v>23</v>
      </c>
      <c r="N33" s="166">
        <v>15.5</v>
      </c>
      <c r="O33" s="166">
        <f t="shared" si="0"/>
        <v>80.5</v>
      </c>
      <c r="P33" s="166">
        <f t="shared" si="1"/>
        <v>180.5</v>
      </c>
      <c r="Q33" s="166">
        <f t="shared" si="2"/>
        <v>70</v>
      </c>
      <c r="R33" s="166">
        <f t="shared" si="3"/>
        <v>24.15</v>
      </c>
      <c r="S33" s="166">
        <f t="shared" si="4"/>
        <v>94.15</v>
      </c>
      <c r="T33" s="166"/>
    </row>
    <row r="34" spans="1:20" ht="24">
      <c r="A34" s="102">
        <v>33</v>
      </c>
      <c r="B34" s="164"/>
      <c r="C34" s="165" t="s">
        <v>99</v>
      </c>
      <c r="D34" s="165" t="s">
        <v>948</v>
      </c>
      <c r="E34" s="165"/>
      <c r="F34" s="165" t="s">
        <v>168</v>
      </c>
      <c r="G34" s="165" t="s">
        <v>79</v>
      </c>
      <c r="H34" s="165"/>
      <c r="I34" s="165" t="s">
        <v>25</v>
      </c>
      <c r="J34" s="166">
        <v>100</v>
      </c>
      <c r="K34" s="166">
        <v>15</v>
      </c>
      <c r="L34" s="166">
        <v>25</v>
      </c>
      <c r="M34" s="166">
        <v>23.5</v>
      </c>
      <c r="N34" s="166">
        <v>14.5</v>
      </c>
      <c r="O34" s="166">
        <f t="shared" si="0"/>
        <v>78</v>
      </c>
      <c r="P34" s="166">
        <f t="shared" si="1"/>
        <v>178</v>
      </c>
      <c r="Q34" s="166">
        <f t="shared" si="2"/>
        <v>70</v>
      </c>
      <c r="R34" s="166">
        <f t="shared" si="3"/>
        <v>23.4</v>
      </c>
      <c r="S34" s="166">
        <f t="shared" si="4"/>
        <v>93.4</v>
      </c>
      <c r="T34" s="165"/>
    </row>
    <row r="35" spans="1:20" ht="24">
      <c r="A35" s="102">
        <v>34</v>
      </c>
      <c r="B35" s="167"/>
      <c r="C35" s="165"/>
      <c r="D35" s="165" t="s">
        <v>1211</v>
      </c>
      <c r="E35" s="165"/>
      <c r="F35" s="165" t="s">
        <v>168</v>
      </c>
      <c r="G35" s="165" t="s">
        <v>79</v>
      </c>
      <c r="H35" s="166"/>
      <c r="I35" s="166"/>
      <c r="J35" s="166">
        <v>100</v>
      </c>
      <c r="K35" s="166">
        <v>15</v>
      </c>
      <c r="L35" s="166">
        <v>27</v>
      </c>
      <c r="M35" s="166">
        <v>22</v>
      </c>
      <c r="N35" s="166">
        <v>13.75</v>
      </c>
      <c r="O35" s="166">
        <f t="shared" si="0"/>
        <v>77.75</v>
      </c>
      <c r="P35" s="166">
        <f t="shared" si="1"/>
        <v>177.75</v>
      </c>
      <c r="Q35" s="166">
        <f t="shared" si="2"/>
        <v>70</v>
      </c>
      <c r="R35" s="166">
        <f t="shared" si="3"/>
        <v>23.324999999999999</v>
      </c>
      <c r="S35" s="166">
        <f t="shared" si="4"/>
        <v>93.325000000000003</v>
      </c>
      <c r="T35" s="171" t="s">
        <v>1275</v>
      </c>
    </row>
    <row r="36" spans="1:20" ht="24">
      <c r="A36" s="102">
        <v>35</v>
      </c>
      <c r="B36" s="164"/>
      <c r="C36" s="165" t="s">
        <v>73</v>
      </c>
      <c r="D36" s="165" t="s">
        <v>924</v>
      </c>
      <c r="E36" s="165"/>
      <c r="F36" s="165" t="s">
        <v>168</v>
      </c>
      <c r="G36" s="165" t="s">
        <v>79</v>
      </c>
      <c r="H36" s="165"/>
      <c r="I36" s="165" t="s">
        <v>25</v>
      </c>
      <c r="J36" s="166">
        <v>100</v>
      </c>
      <c r="K36" s="166">
        <v>15</v>
      </c>
      <c r="L36" s="166">
        <v>24</v>
      </c>
      <c r="M36" s="166">
        <v>20.75</v>
      </c>
      <c r="N36" s="166">
        <v>13</v>
      </c>
      <c r="O36" s="166">
        <f t="shared" si="0"/>
        <v>72.75</v>
      </c>
      <c r="P36" s="166">
        <f t="shared" si="1"/>
        <v>172.75</v>
      </c>
      <c r="Q36" s="166">
        <f t="shared" si="2"/>
        <v>70</v>
      </c>
      <c r="R36" s="166">
        <f t="shared" si="3"/>
        <v>21.824999999999999</v>
      </c>
      <c r="S36" s="166">
        <f t="shared" si="4"/>
        <v>91.825000000000003</v>
      </c>
      <c r="T36" s="166"/>
    </row>
    <row r="37" spans="1:20" ht="24">
      <c r="A37" s="102">
        <v>36</v>
      </c>
      <c r="B37" s="164"/>
      <c r="C37" s="165" t="s">
        <v>113</v>
      </c>
      <c r="D37" s="165" t="s">
        <v>933</v>
      </c>
      <c r="E37" s="165"/>
      <c r="F37" s="165" t="s">
        <v>168</v>
      </c>
      <c r="G37" s="165" t="s">
        <v>79</v>
      </c>
      <c r="H37" s="165"/>
      <c r="I37" s="165" t="s">
        <v>25</v>
      </c>
      <c r="J37" s="166">
        <v>98</v>
      </c>
      <c r="K37" s="166">
        <v>14.5</v>
      </c>
      <c r="L37" s="166">
        <v>26</v>
      </c>
      <c r="M37" s="166">
        <v>22.25</v>
      </c>
      <c r="N37" s="166">
        <v>14.5</v>
      </c>
      <c r="O37" s="166">
        <f t="shared" si="0"/>
        <v>77.25</v>
      </c>
      <c r="P37" s="166">
        <f t="shared" si="1"/>
        <v>175.25</v>
      </c>
      <c r="Q37" s="166">
        <f t="shared" si="2"/>
        <v>68.599999999999994</v>
      </c>
      <c r="R37" s="166">
        <f t="shared" si="3"/>
        <v>23.175000000000001</v>
      </c>
      <c r="S37" s="166">
        <f t="shared" si="4"/>
        <v>91.774999999999991</v>
      </c>
      <c r="T37" s="165"/>
    </row>
    <row r="38" spans="1:20" ht="24">
      <c r="A38" s="102">
        <v>37</v>
      </c>
      <c r="B38" s="164"/>
      <c r="C38" s="165" t="s">
        <v>75</v>
      </c>
      <c r="D38" s="165" t="s">
        <v>1214</v>
      </c>
      <c r="E38" s="168"/>
      <c r="F38" s="165" t="s">
        <v>168</v>
      </c>
      <c r="G38" s="165" t="s">
        <v>79</v>
      </c>
      <c r="H38" s="168"/>
      <c r="I38" s="166" t="s">
        <v>25</v>
      </c>
      <c r="J38" s="166">
        <v>99</v>
      </c>
      <c r="K38" s="166">
        <v>15</v>
      </c>
      <c r="L38" s="166">
        <v>22</v>
      </c>
      <c r="M38" s="166">
        <v>22.5</v>
      </c>
      <c r="N38" s="166">
        <v>14.5</v>
      </c>
      <c r="O38" s="166">
        <f t="shared" ref="O38:O55" si="5">SUM(K38:N38)</f>
        <v>74</v>
      </c>
      <c r="P38" s="166">
        <f t="shared" ref="P38:P55" si="6">J38 + K38 + L38+M38+N38</f>
        <v>173</v>
      </c>
      <c r="Q38" s="166">
        <f t="shared" ref="Q38:Q55" si="7">70% * J38</f>
        <v>69.3</v>
      </c>
      <c r="R38" s="166">
        <f t="shared" ref="R38:R55" si="8" xml:space="preserve"> 30% * O38</f>
        <v>22.2</v>
      </c>
      <c r="S38" s="166">
        <f t="shared" ref="S38:S55" si="9">R38 + Q38</f>
        <v>91.5</v>
      </c>
      <c r="T38" s="165"/>
    </row>
    <row r="39" spans="1:20" ht="24">
      <c r="A39" s="102">
        <v>38</v>
      </c>
      <c r="B39" s="167"/>
      <c r="C39" s="165" t="s">
        <v>59</v>
      </c>
      <c r="D39" s="165" t="s">
        <v>267</v>
      </c>
      <c r="E39" s="165"/>
      <c r="F39" s="165" t="s">
        <v>168</v>
      </c>
      <c r="G39" s="165" t="s">
        <v>79</v>
      </c>
      <c r="H39" s="165"/>
      <c r="I39" s="165" t="s">
        <v>259</v>
      </c>
      <c r="J39" s="166">
        <v>97</v>
      </c>
      <c r="K39" s="166">
        <v>15</v>
      </c>
      <c r="L39" s="166">
        <v>26</v>
      </c>
      <c r="M39" s="166">
        <v>21</v>
      </c>
      <c r="N39" s="166">
        <v>13.5</v>
      </c>
      <c r="O39" s="166">
        <f t="shared" si="5"/>
        <v>75.5</v>
      </c>
      <c r="P39" s="166">
        <f t="shared" si="6"/>
        <v>172.5</v>
      </c>
      <c r="Q39" s="166">
        <f t="shared" si="7"/>
        <v>67.899999999999991</v>
      </c>
      <c r="R39" s="166">
        <f t="shared" si="8"/>
        <v>22.65</v>
      </c>
      <c r="S39" s="166">
        <f t="shared" si="9"/>
        <v>90.549999999999983</v>
      </c>
      <c r="T39" s="165"/>
    </row>
    <row r="40" spans="1:20" ht="24">
      <c r="A40" s="102">
        <v>39</v>
      </c>
      <c r="B40" s="167"/>
      <c r="C40" s="165" t="s">
        <v>196</v>
      </c>
      <c r="D40" s="165" t="s">
        <v>951</v>
      </c>
      <c r="E40" s="165"/>
      <c r="F40" s="165" t="s">
        <v>168</v>
      </c>
      <c r="G40" s="165" t="s">
        <v>79</v>
      </c>
      <c r="H40" s="165"/>
      <c r="I40" s="165" t="s">
        <v>25</v>
      </c>
      <c r="J40" s="166">
        <v>99</v>
      </c>
      <c r="K40" s="166">
        <v>15</v>
      </c>
      <c r="L40" s="166">
        <v>22</v>
      </c>
      <c r="M40" s="166">
        <v>20.75</v>
      </c>
      <c r="N40" s="166">
        <v>12.75</v>
      </c>
      <c r="O40" s="166">
        <f t="shared" si="5"/>
        <v>70.5</v>
      </c>
      <c r="P40" s="166">
        <f t="shared" si="6"/>
        <v>169.5</v>
      </c>
      <c r="Q40" s="166">
        <f t="shared" si="7"/>
        <v>69.3</v>
      </c>
      <c r="R40" s="166">
        <f t="shared" si="8"/>
        <v>21.15</v>
      </c>
      <c r="S40" s="166">
        <f t="shared" si="9"/>
        <v>90.449999999999989</v>
      </c>
      <c r="T40" s="165"/>
    </row>
    <row r="41" spans="1:20" ht="24">
      <c r="A41" s="102">
        <v>40</v>
      </c>
      <c r="B41" s="164"/>
      <c r="C41" s="165" t="s">
        <v>72</v>
      </c>
      <c r="D41" s="165" t="s">
        <v>1216</v>
      </c>
      <c r="E41" s="169"/>
      <c r="F41" s="165" t="s">
        <v>168</v>
      </c>
      <c r="G41" s="165" t="s">
        <v>79</v>
      </c>
      <c r="H41" s="169"/>
      <c r="I41" s="166" t="s">
        <v>25</v>
      </c>
      <c r="J41" s="166">
        <v>95</v>
      </c>
      <c r="K41" s="166">
        <v>15</v>
      </c>
      <c r="L41" s="166">
        <v>26</v>
      </c>
      <c r="M41" s="166">
        <v>22</v>
      </c>
      <c r="N41" s="166">
        <v>14</v>
      </c>
      <c r="O41" s="166">
        <f t="shared" si="5"/>
        <v>77</v>
      </c>
      <c r="P41" s="166">
        <f t="shared" si="6"/>
        <v>172</v>
      </c>
      <c r="Q41" s="166">
        <f t="shared" si="7"/>
        <v>66.5</v>
      </c>
      <c r="R41" s="166">
        <f t="shared" si="8"/>
        <v>23.099999999999998</v>
      </c>
      <c r="S41" s="166">
        <f t="shared" si="9"/>
        <v>89.6</v>
      </c>
      <c r="T41" s="165"/>
    </row>
    <row r="42" spans="1:20" ht="24">
      <c r="A42" s="102">
        <v>41</v>
      </c>
      <c r="B42" s="167"/>
      <c r="C42" s="165" t="s">
        <v>63</v>
      </c>
      <c r="D42" s="165" t="s">
        <v>943</v>
      </c>
      <c r="E42" s="165"/>
      <c r="F42" s="165" t="s">
        <v>168</v>
      </c>
      <c r="G42" s="165" t="s">
        <v>79</v>
      </c>
      <c r="H42" s="165"/>
      <c r="I42" s="165" t="s">
        <v>25</v>
      </c>
      <c r="J42" s="166">
        <v>98.5</v>
      </c>
      <c r="K42" s="166">
        <v>15</v>
      </c>
      <c r="L42" s="166">
        <v>20</v>
      </c>
      <c r="M42" s="166">
        <v>20.5</v>
      </c>
      <c r="N42" s="166">
        <v>12</v>
      </c>
      <c r="O42" s="166">
        <f t="shared" si="5"/>
        <v>67.5</v>
      </c>
      <c r="P42" s="166">
        <f t="shared" si="6"/>
        <v>166</v>
      </c>
      <c r="Q42" s="166">
        <f t="shared" si="7"/>
        <v>68.949999999999989</v>
      </c>
      <c r="R42" s="166">
        <f t="shared" si="8"/>
        <v>20.25</v>
      </c>
      <c r="S42" s="166">
        <f t="shared" si="9"/>
        <v>89.199999999999989</v>
      </c>
      <c r="T42" s="165"/>
    </row>
    <row r="43" spans="1:20" ht="24">
      <c r="A43" s="102">
        <v>42</v>
      </c>
      <c r="B43" s="164"/>
      <c r="C43" s="165" t="s">
        <v>1247</v>
      </c>
      <c r="D43" s="165" t="s">
        <v>1213</v>
      </c>
      <c r="E43" s="165"/>
      <c r="F43" s="165" t="s">
        <v>168</v>
      </c>
      <c r="G43" s="165" t="s">
        <v>79</v>
      </c>
      <c r="H43" s="165"/>
      <c r="I43" s="166" t="s">
        <v>25</v>
      </c>
      <c r="J43" s="166">
        <v>95</v>
      </c>
      <c r="K43" s="166">
        <v>15</v>
      </c>
      <c r="L43" s="166">
        <v>21</v>
      </c>
      <c r="M43" s="166">
        <v>19</v>
      </c>
      <c r="N43" s="166">
        <v>20</v>
      </c>
      <c r="O43" s="166">
        <f t="shared" si="5"/>
        <v>75</v>
      </c>
      <c r="P43" s="166">
        <f t="shared" si="6"/>
        <v>170</v>
      </c>
      <c r="Q43" s="166">
        <f t="shared" si="7"/>
        <v>66.5</v>
      </c>
      <c r="R43" s="166">
        <f t="shared" si="8"/>
        <v>22.5</v>
      </c>
      <c r="S43" s="166">
        <f t="shared" si="9"/>
        <v>89</v>
      </c>
      <c r="T43" s="166"/>
    </row>
    <row r="44" spans="1:20" ht="24">
      <c r="A44" s="102">
        <v>43</v>
      </c>
      <c r="B44" s="164"/>
      <c r="C44" s="165" t="s">
        <v>30</v>
      </c>
      <c r="D44" s="165" t="s">
        <v>940</v>
      </c>
      <c r="E44" s="165"/>
      <c r="F44" s="165" t="s">
        <v>168</v>
      </c>
      <c r="G44" s="165" t="s">
        <v>79</v>
      </c>
      <c r="H44" s="165"/>
      <c r="I44" s="165" t="s">
        <v>25</v>
      </c>
      <c r="J44" s="166">
        <v>95</v>
      </c>
      <c r="K44" s="166">
        <v>15</v>
      </c>
      <c r="L44" s="166">
        <v>25</v>
      </c>
      <c r="M44" s="166">
        <v>20.75</v>
      </c>
      <c r="N44" s="166">
        <v>12.75</v>
      </c>
      <c r="O44" s="166">
        <f t="shared" si="5"/>
        <v>73.5</v>
      </c>
      <c r="P44" s="166">
        <f t="shared" si="6"/>
        <v>168.5</v>
      </c>
      <c r="Q44" s="166">
        <f t="shared" si="7"/>
        <v>66.5</v>
      </c>
      <c r="R44" s="166">
        <f t="shared" si="8"/>
        <v>22.05</v>
      </c>
      <c r="S44" s="166">
        <f t="shared" si="9"/>
        <v>88.55</v>
      </c>
      <c r="T44" s="166"/>
    </row>
    <row r="45" spans="1:20" ht="24">
      <c r="A45" s="102">
        <v>44</v>
      </c>
      <c r="B45" s="164"/>
      <c r="C45" s="165" t="s">
        <v>928</v>
      </c>
      <c r="D45" s="165" t="s">
        <v>927</v>
      </c>
      <c r="E45" s="165"/>
      <c r="F45" s="165" t="s">
        <v>168</v>
      </c>
      <c r="G45" s="165" t="s">
        <v>79</v>
      </c>
      <c r="H45" s="165"/>
      <c r="I45" s="165" t="s">
        <v>25</v>
      </c>
      <c r="J45" s="166">
        <v>94.5</v>
      </c>
      <c r="K45" s="166">
        <v>15</v>
      </c>
      <c r="L45" s="166">
        <v>20</v>
      </c>
      <c r="M45" s="166">
        <v>21.5</v>
      </c>
      <c r="N45" s="166">
        <v>14</v>
      </c>
      <c r="O45" s="166">
        <f t="shared" si="5"/>
        <v>70.5</v>
      </c>
      <c r="P45" s="166">
        <f t="shared" si="6"/>
        <v>165</v>
      </c>
      <c r="Q45" s="166">
        <f t="shared" si="7"/>
        <v>66.149999999999991</v>
      </c>
      <c r="R45" s="166">
        <f t="shared" si="8"/>
        <v>21.15</v>
      </c>
      <c r="S45" s="166">
        <f t="shared" si="9"/>
        <v>87.299999999999983</v>
      </c>
      <c r="T45" s="166"/>
    </row>
    <row r="46" spans="1:20" ht="24">
      <c r="A46" s="102">
        <v>45</v>
      </c>
      <c r="B46" s="167"/>
      <c r="C46" s="165" t="s">
        <v>62</v>
      </c>
      <c r="D46" s="165" t="s">
        <v>944</v>
      </c>
      <c r="E46" s="165"/>
      <c r="F46" s="165" t="s">
        <v>168</v>
      </c>
      <c r="G46" s="165" t="s">
        <v>79</v>
      </c>
      <c r="H46" s="165"/>
      <c r="I46" s="165" t="s">
        <v>25</v>
      </c>
      <c r="J46" s="166">
        <v>95</v>
      </c>
      <c r="K46" s="166">
        <v>15</v>
      </c>
      <c r="L46" s="166">
        <v>20</v>
      </c>
      <c r="M46" s="166">
        <v>20.5</v>
      </c>
      <c r="N46" s="166">
        <v>13</v>
      </c>
      <c r="O46" s="166">
        <f t="shared" si="5"/>
        <v>68.5</v>
      </c>
      <c r="P46" s="166">
        <f t="shared" si="6"/>
        <v>163.5</v>
      </c>
      <c r="Q46" s="166">
        <f t="shared" si="7"/>
        <v>66.5</v>
      </c>
      <c r="R46" s="166">
        <f t="shared" si="8"/>
        <v>20.55</v>
      </c>
      <c r="S46" s="166">
        <f t="shared" si="9"/>
        <v>87.05</v>
      </c>
      <c r="T46" s="165"/>
    </row>
    <row r="47" spans="1:20" ht="24">
      <c r="A47" s="102">
        <v>46</v>
      </c>
      <c r="B47" s="164"/>
      <c r="C47" s="165" t="s">
        <v>54</v>
      </c>
      <c r="D47" s="165" t="s">
        <v>956</v>
      </c>
      <c r="E47" s="165"/>
      <c r="F47" s="165" t="s">
        <v>168</v>
      </c>
      <c r="G47" s="165" t="s">
        <v>79</v>
      </c>
      <c r="H47" s="165"/>
      <c r="I47" s="165" t="s">
        <v>25</v>
      </c>
      <c r="J47" s="165">
        <v>93.5</v>
      </c>
      <c r="K47" s="165">
        <v>14</v>
      </c>
      <c r="L47" s="165">
        <v>22</v>
      </c>
      <c r="M47" s="165">
        <v>20</v>
      </c>
      <c r="N47" s="166">
        <v>13</v>
      </c>
      <c r="O47" s="166">
        <f t="shared" si="5"/>
        <v>69</v>
      </c>
      <c r="P47" s="166">
        <f t="shared" si="6"/>
        <v>162.5</v>
      </c>
      <c r="Q47" s="166">
        <f t="shared" si="7"/>
        <v>65.45</v>
      </c>
      <c r="R47" s="166">
        <f t="shared" si="8"/>
        <v>20.7</v>
      </c>
      <c r="S47" s="166">
        <f t="shared" si="9"/>
        <v>86.15</v>
      </c>
      <c r="T47" s="165"/>
    </row>
    <row r="48" spans="1:20" ht="24">
      <c r="A48" s="102">
        <v>47</v>
      </c>
      <c r="B48" s="164"/>
      <c r="C48" s="165" t="s">
        <v>113</v>
      </c>
      <c r="D48" s="165" t="s">
        <v>932</v>
      </c>
      <c r="E48" s="165"/>
      <c r="F48" s="165" t="s">
        <v>168</v>
      </c>
      <c r="G48" s="165" t="s">
        <v>79</v>
      </c>
      <c r="H48" s="165"/>
      <c r="I48" s="165" t="s">
        <v>25</v>
      </c>
      <c r="J48" s="165">
        <v>97.5</v>
      </c>
      <c r="K48" s="165">
        <v>9</v>
      </c>
      <c r="L48" s="165">
        <v>20</v>
      </c>
      <c r="M48" s="165">
        <v>18</v>
      </c>
      <c r="N48" s="166">
        <v>11</v>
      </c>
      <c r="O48" s="166">
        <f t="shared" si="5"/>
        <v>58</v>
      </c>
      <c r="P48" s="166">
        <f t="shared" si="6"/>
        <v>155.5</v>
      </c>
      <c r="Q48" s="166">
        <f t="shared" si="7"/>
        <v>68.25</v>
      </c>
      <c r="R48" s="166">
        <f t="shared" si="8"/>
        <v>17.399999999999999</v>
      </c>
      <c r="S48" s="166">
        <f t="shared" si="9"/>
        <v>85.65</v>
      </c>
      <c r="T48" s="166"/>
    </row>
    <row r="49" spans="1:20" ht="24">
      <c r="A49" s="102">
        <v>48</v>
      </c>
      <c r="B49" s="164"/>
      <c r="C49" s="165" t="s">
        <v>90</v>
      </c>
      <c r="D49" s="165" t="s">
        <v>939</v>
      </c>
      <c r="E49" s="165"/>
      <c r="F49" s="165" t="s">
        <v>223</v>
      </c>
      <c r="G49" s="165" t="s">
        <v>79</v>
      </c>
      <c r="H49" s="165"/>
      <c r="I49" s="165" t="s">
        <v>25</v>
      </c>
      <c r="J49" s="166">
        <v>84</v>
      </c>
      <c r="K49" s="166">
        <v>15</v>
      </c>
      <c r="L49" s="166">
        <v>15</v>
      </c>
      <c r="M49" s="166">
        <v>12</v>
      </c>
      <c r="N49" s="166">
        <v>8</v>
      </c>
      <c r="O49" s="166">
        <f t="shared" si="5"/>
        <v>50</v>
      </c>
      <c r="P49" s="166">
        <f t="shared" si="6"/>
        <v>134</v>
      </c>
      <c r="Q49" s="166">
        <f t="shared" si="7"/>
        <v>58.8</v>
      </c>
      <c r="R49" s="166">
        <f t="shared" si="8"/>
        <v>15</v>
      </c>
      <c r="S49" s="166">
        <f t="shared" si="9"/>
        <v>73.8</v>
      </c>
      <c r="T49" s="166"/>
    </row>
    <row r="50" spans="1:20" ht="24">
      <c r="A50" s="102">
        <v>49</v>
      </c>
      <c r="B50" s="164"/>
      <c r="C50" s="165" t="s">
        <v>280</v>
      </c>
      <c r="D50" s="170" t="s">
        <v>961</v>
      </c>
      <c r="E50" s="168"/>
      <c r="F50" s="165" t="s">
        <v>168</v>
      </c>
      <c r="G50" s="165" t="s">
        <v>79</v>
      </c>
      <c r="H50" s="168"/>
      <c r="I50" s="165" t="s">
        <v>25</v>
      </c>
      <c r="J50" s="165">
        <v>75</v>
      </c>
      <c r="K50" s="165">
        <v>15</v>
      </c>
      <c r="L50" s="165">
        <v>15</v>
      </c>
      <c r="M50" s="165">
        <v>19</v>
      </c>
      <c r="N50" s="165">
        <v>12</v>
      </c>
      <c r="O50" s="166">
        <f t="shared" si="5"/>
        <v>61</v>
      </c>
      <c r="P50" s="166">
        <f t="shared" si="6"/>
        <v>136</v>
      </c>
      <c r="Q50" s="166">
        <f t="shared" si="7"/>
        <v>52.5</v>
      </c>
      <c r="R50" s="166">
        <f t="shared" si="8"/>
        <v>18.3</v>
      </c>
      <c r="S50" s="166">
        <f t="shared" si="9"/>
        <v>70.8</v>
      </c>
      <c r="T50" s="165"/>
    </row>
    <row r="51" spans="1:20" ht="24">
      <c r="A51" s="102">
        <v>50</v>
      </c>
      <c r="B51" s="164"/>
      <c r="C51" s="165" t="s">
        <v>59</v>
      </c>
      <c r="D51" s="165" t="s">
        <v>945</v>
      </c>
      <c r="E51" s="165"/>
      <c r="F51" s="165" t="s">
        <v>168</v>
      </c>
      <c r="G51" s="165" t="s">
        <v>79</v>
      </c>
      <c r="H51" s="165"/>
      <c r="I51" s="165" t="s">
        <v>259</v>
      </c>
      <c r="J51" s="165"/>
      <c r="K51" s="165"/>
      <c r="L51" s="165"/>
      <c r="M51" s="166"/>
      <c r="N51" s="166"/>
      <c r="O51" s="166">
        <f t="shared" si="5"/>
        <v>0</v>
      </c>
      <c r="P51" s="166">
        <f t="shared" si="6"/>
        <v>0</v>
      </c>
      <c r="Q51" s="166">
        <f t="shared" si="7"/>
        <v>0</v>
      </c>
      <c r="R51" s="166">
        <f t="shared" si="8"/>
        <v>0</v>
      </c>
      <c r="S51" s="166">
        <f t="shared" si="9"/>
        <v>0</v>
      </c>
      <c r="T51" s="166" t="s">
        <v>1277</v>
      </c>
    </row>
    <row r="52" spans="1:20" ht="24">
      <c r="A52" s="102">
        <v>51</v>
      </c>
      <c r="B52" s="167"/>
      <c r="C52" s="165" t="s">
        <v>54</v>
      </c>
      <c r="D52" s="165" t="s">
        <v>955</v>
      </c>
      <c r="E52" s="165"/>
      <c r="F52" s="165" t="s">
        <v>168</v>
      </c>
      <c r="G52" s="165" t="s">
        <v>79</v>
      </c>
      <c r="H52" s="165"/>
      <c r="I52" s="165" t="s">
        <v>25</v>
      </c>
      <c r="J52" s="165"/>
      <c r="K52" s="165"/>
      <c r="L52" s="165"/>
      <c r="M52" s="165"/>
      <c r="N52" s="165"/>
      <c r="O52" s="166">
        <f t="shared" si="5"/>
        <v>0</v>
      </c>
      <c r="P52" s="166">
        <f t="shared" si="6"/>
        <v>0</v>
      </c>
      <c r="Q52" s="166">
        <f t="shared" si="7"/>
        <v>0</v>
      </c>
      <c r="R52" s="166">
        <f t="shared" si="8"/>
        <v>0</v>
      </c>
      <c r="S52" s="166">
        <f t="shared" si="9"/>
        <v>0</v>
      </c>
      <c r="T52" s="166" t="s">
        <v>1277</v>
      </c>
    </row>
    <row r="53" spans="1:20" ht="24">
      <c r="A53" s="102">
        <v>52</v>
      </c>
      <c r="B53" s="164"/>
      <c r="C53" s="165" t="s">
        <v>53</v>
      </c>
      <c r="D53" s="165" t="s">
        <v>957</v>
      </c>
      <c r="E53" s="165"/>
      <c r="F53" s="165" t="s">
        <v>168</v>
      </c>
      <c r="G53" s="165" t="s">
        <v>79</v>
      </c>
      <c r="H53" s="165"/>
      <c r="I53" s="165" t="s">
        <v>25</v>
      </c>
      <c r="J53" s="165"/>
      <c r="K53" s="165"/>
      <c r="L53" s="165"/>
      <c r="M53" s="166"/>
      <c r="N53" s="166"/>
      <c r="O53" s="166">
        <f t="shared" si="5"/>
        <v>0</v>
      </c>
      <c r="P53" s="166">
        <f t="shared" si="6"/>
        <v>0</v>
      </c>
      <c r="Q53" s="166">
        <f t="shared" si="7"/>
        <v>0</v>
      </c>
      <c r="R53" s="166">
        <f t="shared" si="8"/>
        <v>0</v>
      </c>
      <c r="S53" s="166">
        <f t="shared" si="9"/>
        <v>0</v>
      </c>
      <c r="T53" s="166" t="s">
        <v>1277</v>
      </c>
    </row>
    <row r="54" spans="1:20" ht="24">
      <c r="A54" s="102">
        <v>53</v>
      </c>
      <c r="B54" s="163"/>
      <c r="C54" s="25" t="s">
        <v>80</v>
      </c>
      <c r="D54" s="25" t="s">
        <v>800</v>
      </c>
      <c r="E54" s="25"/>
      <c r="F54" s="25" t="s">
        <v>168</v>
      </c>
      <c r="G54" s="25" t="s">
        <v>79</v>
      </c>
      <c r="H54" s="25"/>
      <c r="I54" s="25" t="s">
        <v>25</v>
      </c>
      <c r="J54" s="25"/>
      <c r="K54" s="25"/>
      <c r="L54" s="25"/>
      <c r="M54" s="84"/>
      <c r="N54" s="84"/>
      <c r="O54" s="84">
        <f t="shared" si="5"/>
        <v>0</v>
      </c>
      <c r="P54" s="84">
        <f t="shared" si="6"/>
        <v>0</v>
      </c>
      <c r="Q54" s="84">
        <f t="shared" si="7"/>
        <v>0</v>
      </c>
      <c r="R54" s="84">
        <f t="shared" si="8"/>
        <v>0</v>
      </c>
      <c r="S54" s="84">
        <f t="shared" si="9"/>
        <v>0</v>
      </c>
      <c r="T54" s="166" t="s">
        <v>1277</v>
      </c>
    </row>
    <row r="55" spans="1:20" ht="24">
      <c r="A55" s="102">
        <v>54</v>
      </c>
      <c r="B55" s="151"/>
      <c r="C55" s="25" t="s">
        <v>53</v>
      </c>
      <c r="D55" s="25" t="s">
        <v>958</v>
      </c>
      <c r="E55" s="25"/>
      <c r="F55" s="25" t="s">
        <v>168</v>
      </c>
      <c r="G55" s="25" t="s">
        <v>79</v>
      </c>
      <c r="H55" s="25"/>
      <c r="I55" s="25" t="s">
        <v>25</v>
      </c>
      <c r="J55" s="25"/>
      <c r="K55" s="84"/>
      <c r="L55" s="84"/>
      <c r="M55" s="25"/>
      <c r="N55" s="25"/>
      <c r="O55" s="84">
        <f t="shared" si="5"/>
        <v>0</v>
      </c>
      <c r="P55" s="84">
        <f t="shared" si="6"/>
        <v>0</v>
      </c>
      <c r="Q55" s="84">
        <f t="shared" si="7"/>
        <v>0</v>
      </c>
      <c r="R55" s="84">
        <f t="shared" si="8"/>
        <v>0</v>
      </c>
      <c r="S55" s="84">
        <f t="shared" si="9"/>
        <v>0</v>
      </c>
      <c r="T55" s="166" t="s">
        <v>1277</v>
      </c>
    </row>
  </sheetData>
  <sortState ref="A2:U55">
    <sortCondition ref="U2:U55"/>
    <sortCondition descending="1" ref="S2:S5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83"/>
  <sheetViews>
    <sheetView rightToLeft="1" topLeftCell="A35" zoomScaleNormal="100" workbookViewId="0">
      <selection activeCell="H49" sqref="H2:H49"/>
    </sheetView>
  </sheetViews>
  <sheetFormatPr defaultColWidth="8.875" defaultRowHeight="21"/>
  <cols>
    <col min="1" max="1" width="5" style="6" bestFit="1" customWidth="1"/>
    <col min="2" max="2" width="9.125" style="6" bestFit="1" customWidth="1"/>
    <col min="3" max="3" width="23.125" style="6" customWidth="1"/>
    <col min="4" max="4" width="21.125" style="6" bestFit="1" customWidth="1"/>
    <col min="5" max="5" width="18.25" style="6" customWidth="1"/>
    <col min="6" max="6" width="6" style="6" bestFit="1" customWidth="1"/>
    <col min="7" max="7" width="5.25" style="6" bestFit="1" customWidth="1"/>
    <col min="8" max="8" width="16.375" style="6" customWidth="1"/>
    <col min="9" max="9" width="12" style="6" bestFit="1" customWidth="1"/>
    <col min="10" max="10" width="10" style="6" bestFit="1" customWidth="1"/>
    <col min="11" max="19" width="9.75" style="6" customWidth="1"/>
    <col min="20" max="20" width="17.375" style="6" bestFit="1" customWidth="1"/>
    <col min="21" max="21" width="33.375" style="6" bestFit="1" customWidth="1"/>
    <col min="22" max="16384" width="8.875" style="6"/>
  </cols>
  <sheetData>
    <row r="1" spans="1:20" ht="63">
      <c r="A1" s="80" t="s">
        <v>0</v>
      </c>
      <c r="B1" s="5" t="s">
        <v>4</v>
      </c>
      <c r="C1" s="5" t="s">
        <v>17</v>
      </c>
      <c r="D1" s="5" t="s">
        <v>1</v>
      </c>
      <c r="E1" s="5" t="s">
        <v>50</v>
      </c>
      <c r="F1" s="80" t="s">
        <v>16</v>
      </c>
      <c r="G1" s="80" t="s">
        <v>15</v>
      </c>
      <c r="H1" s="5" t="s">
        <v>2</v>
      </c>
      <c r="I1" s="5" t="s">
        <v>14</v>
      </c>
      <c r="J1" s="80" t="s">
        <v>45</v>
      </c>
      <c r="K1" s="80" t="s">
        <v>9</v>
      </c>
      <c r="L1" s="80" t="s">
        <v>8</v>
      </c>
      <c r="M1" s="80" t="s">
        <v>7</v>
      </c>
      <c r="N1" s="80" t="s">
        <v>6</v>
      </c>
      <c r="O1" s="80" t="s">
        <v>46</v>
      </c>
      <c r="P1" s="80" t="s">
        <v>47</v>
      </c>
      <c r="Q1" s="80" t="s">
        <v>48</v>
      </c>
      <c r="R1" s="80" t="s">
        <v>1217</v>
      </c>
      <c r="S1" s="80" t="s">
        <v>49</v>
      </c>
      <c r="T1" s="80" t="s">
        <v>18</v>
      </c>
    </row>
    <row r="2" spans="1:20" ht="20.100000000000001" customHeight="1">
      <c r="A2" s="2">
        <v>1</v>
      </c>
      <c r="B2" s="172"/>
      <c r="C2" s="29" t="s">
        <v>29</v>
      </c>
      <c r="D2" s="89" t="s">
        <v>977</v>
      </c>
      <c r="E2" s="91"/>
      <c r="F2" s="29" t="s">
        <v>168</v>
      </c>
      <c r="G2" s="29" t="s">
        <v>79</v>
      </c>
      <c r="H2" s="91"/>
      <c r="I2" s="29" t="s">
        <v>24</v>
      </c>
      <c r="J2" s="172">
        <v>94.5</v>
      </c>
      <c r="K2" s="172">
        <v>15</v>
      </c>
      <c r="L2" s="172">
        <v>30</v>
      </c>
      <c r="M2" s="172">
        <v>14.75</v>
      </c>
      <c r="N2" s="172">
        <v>22.5</v>
      </c>
      <c r="O2" s="172">
        <f>SUM(K2:N2)</f>
        <v>82.25</v>
      </c>
      <c r="P2" s="172">
        <f>SUM(J2:N2)</f>
        <v>176.75</v>
      </c>
      <c r="Q2" s="172">
        <f t="shared" ref="Q2:Q49" si="0">70%*J2</f>
        <v>66.149999999999991</v>
      </c>
      <c r="R2" s="172">
        <f t="shared" ref="R2:R49" si="1">30%*O2</f>
        <v>24.675000000000001</v>
      </c>
      <c r="S2" s="172">
        <f t="shared" ref="S2:S49" si="2">Q2+R2</f>
        <v>90.824999999999989</v>
      </c>
      <c r="T2" s="172"/>
    </row>
    <row r="3" spans="1:20" ht="20.100000000000001" customHeight="1">
      <c r="A3" s="2">
        <v>2</v>
      </c>
      <c r="B3" s="172"/>
      <c r="C3" s="29" t="s">
        <v>75</v>
      </c>
      <c r="D3" s="29" t="s">
        <v>1004</v>
      </c>
      <c r="E3" s="88"/>
      <c r="F3" s="29" t="s">
        <v>168</v>
      </c>
      <c r="G3" s="29" t="s">
        <v>79</v>
      </c>
      <c r="H3" s="88"/>
      <c r="I3" s="29" t="s">
        <v>24</v>
      </c>
      <c r="J3" s="172">
        <v>98</v>
      </c>
      <c r="K3" s="172">
        <v>14</v>
      </c>
      <c r="L3" s="172">
        <v>28</v>
      </c>
      <c r="M3" s="172">
        <v>12</v>
      </c>
      <c r="N3" s="172">
        <v>18.5</v>
      </c>
      <c r="O3" s="172">
        <f>SUM(K3:N3)</f>
        <v>72.5</v>
      </c>
      <c r="P3" s="172">
        <f>SUM(J3:N3)</f>
        <v>170.5</v>
      </c>
      <c r="Q3" s="172">
        <f t="shared" si="0"/>
        <v>68.599999999999994</v>
      </c>
      <c r="R3" s="172">
        <f t="shared" si="1"/>
        <v>21.75</v>
      </c>
      <c r="S3" s="172">
        <f t="shared" si="2"/>
        <v>90.35</v>
      </c>
      <c r="T3" s="172"/>
    </row>
    <row r="4" spans="1:20" ht="20.100000000000001" customHeight="1">
      <c r="A4" s="2">
        <v>3</v>
      </c>
      <c r="B4" s="89"/>
      <c r="C4" s="29" t="s">
        <v>40</v>
      </c>
      <c r="D4" s="29" t="s">
        <v>1008</v>
      </c>
      <c r="E4" s="29"/>
      <c r="F4" s="29" t="s">
        <v>168</v>
      </c>
      <c r="G4" s="90" t="s">
        <v>79</v>
      </c>
      <c r="H4" s="29"/>
      <c r="I4" s="29" t="s">
        <v>24</v>
      </c>
      <c r="J4" s="172">
        <v>85.5</v>
      </c>
      <c r="K4" s="172">
        <v>15</v>
      </c>
      <c r="L4" s="172">
        <v>24</v>
      </c>
      <c r="M4" s="172">
        <v>13.5</v>
      </c>
      <c r="N4" s="172">
        <v>21</v>
      </c>
      <c r="O4" s="172">
        <f>SUM(K4:N4)</f>
        <v>73.5</v>
      </c>
      <c r="P4" s="172">
        <f>SUM(J4:N4)</f>
        <v>159</v>
      </c>
      <c r="Q4" s="172">
        <f t="shared" si="0"/>
        <v>59.849999999999994</v>
      </c>
      <c r="R4" s="172">
        <f t="shared" si="1"/>
        <v>22.05</v>
      </c>
      <c r="S4" s="172">
        <f t="shared" si="2"/>
        <v>81.899999999999991</v>
      </c>
      <c r="T4" s="89"/>
    </row>
    <row r="5" spans="1:20" ht="20.100000000000001" customHeight="1">
      <c r="A5" s="2">
        <v>4</v>
      </c>
      <c r="B5" s="172"/>
      <c r="C5" s="29" t="s">
        <v>54</v>
      </c>
      <c r="D5" s="29" t="s">
        <v>987</v>
      </c>
      <c r="E5" s="29"/>
      <c r="F5" s="29" t="s">
        <v>168</v>
      </c>
      <c r="G5" s="29" t="s">
        <v>79</v>
      </c>
      <c r="H5" s="29"/>
      <c r="I5" s="29" t="s">
        <v>24</v>
      </c>
      <c r="J5" s="89"/>
      <c r="K5" s="172"/>
      <c r="L5" s="172"/>
      <c r="M5" s="172"/>
      <c r="N5" s="172"/>
      <c r="O5" s="89"/>
      <c r="P5" s="172"/>
      <c r="Q5" s="172">
        <f t="shared" si="0"/>
        <v>0</v>
      </c>
      <c r="R5" s="172">
        <f t="shared" si="1"/>
        <v>0</v>
      </c>
      <c r="S5" s="172">
        <f t="shared" si="2"/>
        <v>0</v>
      </c>
      <c r="T5" s="172" t="s">
        <v>1277</v>
      </c>
    </row>
    <row r="6" spans="1:20" ht="20.100000000000001" customHeight="1">
      <c r="A6" s="2">
        <v>5</v>
      </c>
      <c r="B6" s="172"/>
      <c r="C6" s="29" t="s">
        <v>54</v>
      </c>
      <c r="D6" s="29" t="s">
        <v>986</v>
      </c>
      <c r="E6" s="29"/>
      <c r="F6" s="29" t="s">
        <v>168</v>
      </c>
      <c r="G6" s="29" t="s">
        <v>79</v>
      </c>
      <c r="H6" s="29"/>
      <c r="I6" s="29" t="s">
        <v>24</v>
      </c>
      <c r="J6" s="89"/>
      <c r="K6" s="172"/>
      <c r="L6" s="172"/>
      <c r="M6" s="172"/>
      <c r="N6" s="172"/>
      <c r="O6" s="89"/>
      <c r="P6" s="172"/>
      <c r="Q6" s="172">
        <f t="shared" si="0"/>
        <v>0</v>
      </c>
      <c r="R6" s="172">
        <f t="shared" si="1"/>
        <v>0</v>
      </c>
      <c r="S6" s="172">
        <f t="shared" si="2"/>
        <v>0</v>
      </c>
      <c r="T6" s="172" t="s">
        <v>1277</v>
      </c>
    </row>
    <row r="7" spans="1:20" ht="20.100000000000001" customHeight="1">
      <c r="A7" s="2">
        <v>6</v>
      </c>
      <c r="B7" s="173"/>
      <c r="C7" s="7" t="s">
        <v>75</v>
      </c>
      <c r="D7" s="7" t="s">
        <v>1005</v>
      </c>
      <c r="E7" s="93"/>
      <c r="F7" s="7" t="s">
        <v>168</v>
      </c>
      <c r="G7" s="7" t="s">
        <v>79</v>
      </c>
      <c r="H7" s="7"/>
      <c r="I7" s="7" t="s">
        <v>26</v>
      </c>
      <c r="J7" s="173">
        <v>100</v>
      </c>
      <c r="K7" s="173">
        <v>15</v>
      </c>
      <c r="L7" s="173">
        <v>28</v>
      </c>
      <c r="M7" s="173">
        <v>15</v>
      </c>
      <c r="N7" s="173">
        <v>28</v>
      </c>
      <c r="O7" s="173">
        <f t="shared" ref="O7:O26" si="3">SUM(K7:N7)</f>
        <v>86</v>
      </c>
      <c r="P7" s="173">
        <f t="shared" ref="P7:P26" si="4">SUM(J7:N7)</f>
        <v>186</v>
      </c>
      <c r="Q7" s="173">
        <f t="shared" si="0"/>
        <v>70</v>
      </c>
      <c r="R7" s="173">
        <f t="shared" si="1"/>
        <v>25.8</v>
      </c>
      <c r="S7" s="173">
        <f t="shared" si="2"/>
        <v>95.8</v>
      </c>
      <c r="T7" s="173"/>
    </row>
    <row r="8" spans="1:20" ht="20.100000000000001" customHeight="1">
      <c r="A8" s="2">
        <v>7</v>
      </c>
      <c r="B8" s="173"/>
      <c r="C8" s="7" t="s">
        <v>159</v>
      </c>
      <c r="D8" s="7" t="s">
        <v>988</v>
      </c>
      <c r="E8" s="7"/>
      <c r="F8" s="7" t="s">
        <v>168</v>
      </c>
      <c r="G8" s="7" t="s">
        <v>79</v>
      </c>
      <c r="H8" s="7"/>
      <c r="I8" s="7" t="s">
        <v>26</v>
      </c>
      <c r="J8" s="173">
        <v>100</v>
      </c>
      <c r="K8" s="173">
        <v>15</v>
      </c>
      <c r="L8" s="173">
        <v>29</v>
      </c>
      <c r="M8" s="173">
        <v>15</v>
      </c>
      <c r="N8" s="173">
        <v>23</v>
      </c>
      <c r="O8" s="173">
        <f t="shared" si="3"/>
        <v>82</v>
      </c>
      <c r="P8" s="173">
        <f t="shared" si="4"/>
        <v>182</v>
      </c>
      <c r="Q8" s="173">
        <f t="shared" si="0"/>
        <v>70</v>
      </c>
      <c r="R8" s="173">
        <f t="shared" si="1"/>
        <v>24.599999999999998</v>
      </c>
      <c r="S8" s="173">
        <f t="shared" si="2"/>
        <v>94.6</v>
      </c>
      <c r="T8" s="173"/>
    </row>
    <row r="9" spans="1:20" ht="20.100000000000001" customHeight="1">
      <c r="A9" s="2">
        <v>8</v>
      </c>
      <c r="B9" s="30"/>
      <c r="C9" s="7" t="s">
        <v>29</v>
      </c>
      <c r="D9" s="7" t="s">
        <v>978</v>
      </c>
      <c r="E9" s="7"/>
      <c r="F9" s="7" t="s">
        <v>168</v>
      </c>
      <c r="G9" s="7" t="s">
        <v>79</v>
      </c>
      <c r="H9" s="7"/>
      <c r="I9" s="7" t="s">
        <v>26</v>
      </c>
      <c r="J9" s="173">
        <v>100</v>
      </c>
      <c r="K9" s="173">
        <v>15</v>
      </c>
      <c r="L9" s="173">
        <v>28</v>
      </c>
      <c r="M9" s="173">
        <v>12.75</v>
      </c>
      <c r="N9" s="173">
        <v>20.5</v>
      </c>
      <c r="O9" s="173">
        <f t="shared" si="3"/>
        <v>76.25</v>
      </c>
      <c r="P9" s="173">
        <f t="shared" si="4"/>
        <v>176.25</v>
      </c>
      <c r="Q9" s="173">
        <f t="shared" si="0"/>
        <v>70</v>
      </c>
      <c r="R9" s="173">
        <f t="shared" si="1"/>
        <v>22.875</v>
      </c>
      <c r="S9" s="173">
        <f t="shared" si="2"/>
        <v>92.875</v>
      </c>
      <c r="T9" s="30"/>
    </row>
    <row r="10" spans="1:20" ht="20.100000000000001" customHeight="1">
      <c r="A10" s="2">
        <v>9</v>
      </c>
      <c r="B10" s="174"/>
      <c r="C10" s="7" t="s">
        <v>135</v>
      </c>
      <c r="D10" s="7" t="s">
        <v>974</v>
      </c>
      <c r="E10" s="7"/>
      <c r="F10" s="7" t="s">
        <v>168</v>
      </c>
      <c r="G10" s="7" t="s">
        <v>79</v>
      </c>
      <c r="H10" s="7"/>
      <c r="I10" s="7" t="s">
        <v>26</v>
      </c>
      <c r="J10" s="173">
        <v>100</v>
      </c>
      <c r="K10" s="173">
        <v>14</v>
      </c>
      <c r="L10" s="173">
        <v>25</v>
      </c>
      <c r="M10" s="173">
        <v>14.5</v>
      </c>
      <c r="N10" s="173">
        <v>21.75</v>
      </c>
      <c r="O10" s="173">
        <f t="shared" si="3"/>
        <v>75.25</v>
      </c>
      <c r="P10" s="173">
        <f t="shared" si="4"/>
        <v>175.25</v>
      </c>
      <c r="Q10" s="173">
        <f t="shared" si="0"/>
        <v>70</v>
      </c>
      <c r="R10" s="173">
        <f t="shared" si="1"/>
        <v>22.574999999999999</v>
      </c>
      <c r="S10" s="173">
        <f t="shared" si="2"/>
        <v>92.575000000000003</v>
      </c>
      <c r="T10" s="173"/>
    </row>
    <row r="11" spans="1:20" ht="20.100000000000001" customHeight="1">
      <c r="A11" s="2">
        <v>10</v>
      </c>
      <c r="B11" s="173"/>
      <c r="C11" s="7" t="s">
        <v>54</v>
      </c>
      <c r="D11" s="7" t="s">
        <v>983</v>
      </c>
      <c r="E11" s="7"/>
      <c r="F11" s="7" t="s">
        <v>168</v>
      </c>
      <c r="G11" s="7" t="s">
        <v>79</v>
      </c>
      <c r="H11" s="7"/>
      <c r="I11" s="7" t="s">
        <v>26</v>
      </c>
      <c r="J11" s="173">
        <v>98.5</v>
      </c>
      <c r="K11" s="173">
        <v>14</v>
      </c>
      <c r="L11" s="173">
        <v>28</v>
      </c>
      <c r="M11" s="173">
        <v>14.25</v>
      </c>
      <c r="N11" s="173">
        <v>21</v>
      </c>
      <c r="O11" s="173">
        <f t="shared" si="3"/>
        <v>77.25</v>
      </c>
      <c r="P11" s="173">
        <f t="shared" si="4"/>
        <v>175.75</v>
      </c>
      <c r="Q11" s="173">
        <f t="shared" si="0"/>
        <v>68.949999999999989</v>
      </c>
      <c r="R11" s="173">
        <f t="shared" si="1"/>
        <v>23.175000000000001</v>
      </c>
      <c r="S11" s="173">
        <f t="shared" si="2"/>
        <v>92.124999999999986</v>
      </c>
      <c r="T11" s="173"/>
    </row>
    <row r="12" spans="1:20" ht="20.100000000000001" customHeight="1">
      <c r="A12" s="2">
        <v>11</v>
      </c>
      <c r="B12" s="173"/>
      <c r="C12" s="7" t="s">
        <v>62</v>
      </c>
      <c r="D12" s="9" t="s">
        <v>971</v>
      </c>
      <c r="E12" s="8"/>
      <c r="F12" s="9" t="s">
        <v>168</v>
      </c>
      <c r="G12" s="9" t="s">
        <v>79</v>
      </c>
      <c r="H12" s="8"/>
      <c r="I12" s="7" t="s">
        <v>26</v>
      </c>
      <c r="J12" s="173">
        <v>99</v>
      </c>
      <c r="K12" s="173">
        <v>15</v>
      </c>
      <c r="L12" s="173">
        <v>26</v>
      </c>
      <c r="M12" s="173">
        <v>13.75</v>
      </c>
      <c r="N12" s="173">
        <v>20.75</v>
      </c>
      <c r="O12" s="173">
        <f t="shared" si="3"/>
        <v>75.5</v>
      </c>
      <c r="P12" s="173">
        <f t="shared" si="4"/>
        <v>174.5</v>
      </c>
      <c r="Q12" s="173">
        <f t="shared" si="0"/>
        <v>69.3</v>
      </c>
      <c r="R12" s="173">
        <f t="shared" si="1"/>
        <v>22.65</v>
      </c>
      <c r="S12" s="173">
        <f t="shared" si="2"/>
        <v>91.949999999999989</v>
      </c>
      <c r="T12" s="173"/>
    </row>
    <row r="13" spans="1:20" ht="20.100000000000001" customHeight="1">
      <c r="A13" s="2">
        <v>12</v>
      </c>
      <c r="B13" s="173"/>
      <c r="C13" s="7" t="s">
        <v>1237</v>
      </c>
      <c r="D13" s="173" t="s">
        <v>1208</v>
      </c>
      <c r="E13" s="176"/>
      <c r="F13" s="7" t="s">
        <v>168</v>
      </c>
      <c r="G13" s="7" t="s">
        <v>79</v>
      </c>
      <c r="H13" s="176"/>
      <c r="I13" s="173" t="s">
        <v>26</v>
      </c>
      <c r="J13" s="173">
        <v>99.5</v>
      </c>
      <c r="K13" s="173">
        <v>15</v>
      </c>
      <c r="L13" s="173">
        <v>26</v>
      </c>
      <c r="M13" s="173">
        <v>13</v>
      </c>
      <c r="N13" s="173">
        <v>20</v>
      </c>
      <c r="O13" s="173">
        <f t="shared" si="3"/>
        <v>74</v>
      </c>
      <c r="P13" s="173">
        <f t="shared" si="4"/>
        <v>173.5</v>
      </c>
      <c r="Q13" s="173">
        <f t="shared" si="0"/>
        <v>69.649999999999991</v>
      </c>
      <c r="R13" s="173">
        <f t="shared" si="1"/>
        <v>22.2</v>
      </c>
      <c r="S13" s="173">
        <f t="shared" si="2"/>
        <v>91.85</v>
      </c>
      <c r="T13" s="173"/>
    </row>
    <row r="14" spans="1:20" ht="20.100000000000001" customHeight="1">
      <c r="A14" s="2">
        <v>13</v>
      </c>
      <c r="B14" s="173"/>
      <c r="C14" s="7" t="s">
        <v>106</v>
      </c>
      <c r="D14" s="7" t="s">
        <v>1003</v>
      </c>
      <c r="E14" s="7"/>
      <c r="F14" s="7" t="s">
        <v>168</v>
      </c>
      <c r="G14" s="7" t="s">
        <v>79</v>
      </c>
      <c r="H14" s="7"/>
      <c r="I14" s="7" t="s">
        <v>26</v>
      </c>
      <c r="J14" s="173">
        <v>97.5</v>
      </c>
      <c r="K14" s="173">
        <v>15</v>
      </c>
      <c r="L14" s="173">
        <v>26</v>
      </c>
      <c r="M14" s="173">
        <v>13.5</v>
      </c>
      <c r="N14" s="173">
        <v>20.75</v>
      </c>
      <c r="O14" s="173">
        <f t="shared" si="3"/>
        <v>75.25</v>
      </c>
      <c r="P14" s="173">
        <f t="shared" si="4"/>
        <v>172.75</v>
      </c>
      <c r="Q14" s="173">
        <f t="shared" si="0"/>
        <v>68.25</v>
      </c>
      <c r="R14" s="173">
        <f t="shared" si="1"/>
        <v>22.574999999999999</v>
      </c>
      <c r="S14" s="173">
        <f t="shared" si="2"/>
        <v>90.825000000000003</v>
      </c>
      <c r="T14" s="173"/>
    </row>
    <row r="15" spans="1:20" ht="20.100000000000001" customHeight="1">
      <c r="A15" s="2">
        <v>14</v>
      </c>
      <c r="B15" s="173"/>
      <c r="C15" s="92" t="s">
        <v>127</v>
      </c>
      <c r="D15" s="92" t="s">
        <v>998</v>
      </c>
      <c r="E15" s="92"/>
      <c r="F15" s="92" t="s">
        <v>168</v>
      </c>
      <c r="G15" s="92" t="s">
        <v>103</v>
      </c>
      <c r="H15" s="92"/>
      <c r="I15" s="92" t="s">
        <v>26</v>
      </c>
      <c r="J15" s="173">
        <v>97.5</v>
      </c>
      <c r="K15" s="173">
        <v>13</v>
      </c>
      <c r="L15" s="173">
        <v>28</v>
      </c>
      <c r="M15" s="173">
        <v>13</v>
      </c>
      <c r="N15" s="173">
        <v>21</v>
      </c>
      <c r="O15" s="173">
        <f t="shared" si="3"/>
        <v>75</v>
      </c>
      <c r="P15" s="173">
        <f t="shared" si="4"/>
        <v>172.5</v>
      </c>
      <c r="Q15" s="173">
        <f t="shared" si="0"/>
        <v>68.25</v>
      </c>
      <c r="R15" s="173">
        <f t="shared" si="1"/>
        <v>22.5</v>
      </c>
      <c r="S15" s="173">
        <f t="shared" si="2"/>
        <v>90.75</v>
      </c>
      <c r="T15" s="173"/>
    </row>
    <row r="16" spans="1:20" ht="20.100000000000001" customHeight="1">
      <c r="A16" s="2">
        <v>15</v>
      </c>
      <c r="B16" s="173"/>
      <c r="C16" s="7" t="s">
        <v>69</v>
      </c>
      <c r="D16" s="177" t="s">
        <v>1249</v>
      </c>
      <c r="E16" s="176"/>
      <c r="F16" s="7" t="s">
        <v>168</v>
      </c>
      <c r="G16" s="7" t="s">
        <v>79</v>
      </c>
      <c r="H16" s="176"/>
      <c r="I16" s="175" t="s">
        <v>26</v>
      </c>
      <c r="J16" s="173">
        <v>100</v>
      </c>
      <c r="K16" s="173">
        <v>7.5</v>
      </c>
      <c r="L16" s="173">
        <v>24</v>
      </c>
      <c r="M16" s="173">
        <v>13.75</v>
      </c>
      <c r="N16" s="173">
        <v>21</v>
      </c>
      <c r="O16" s="173">
        <f t="shared" si="3"/>
        <v>66.25</v>
      </c>
      <c r="P16" s="173">
        <f t="shared" si="4"/>
        <v>166.25</v>
      </c>
      <c r="Q16" s="173">
        <f t="shared" si="0"/>
        <v>70</v>
      </c>
      <c r="R16" s="173">
        <f t="shared" si="1"/>
        <v>19.875</v>
      </c>
      <c r="S16" s="173">
        <f t="shared" si="2"/>
        <v>89.875</v>
      </c>
      <c r="T16" s="173"/>
    </row>
    <row r="17" spans="1:20" ht="20.100000000000001" customHeight="1">
      <c r="A17" s="2">
        <v>16</v>
      </c>
      <c r="B17" s="173"/>
      <c r="C17" s="7" t="s">
        <v>34</v>
      </c>
      <c r="D17" s="7" t="s">
        <v>979</v>
      </c>
      <c r="E17" s="7"/>
      <c r="F17" s="7" t="s">
        <v>168</v>
      </c>
      <c r="G17" s="7" t="s">
        <v>103</v>
      </c>
      <c r="H17" s="7"/>
      <c r="I17" s="7" t="s">
        <v>26</v>
      </c>
      <c r="J17" s="173">
        <v>89.5</v>
      </c>
      <c r="K17" s="173">
        <v>15</v>
      </c>
      <c r="L17" s="173">
        <v>29</v>
      </c>
      <c r="M17" s="173">
        <v>24.25</v>
      </c>
      <c r="N17" s="173">
        <v>22</v>
      </c>
      <c r="O17" s="173">
        <f t="shared" si="3"/>
        <v>90.25</v>
      </c>
      <c r="P17" s="173">
        <f t="shared" si="4"/>
        <v>179.75</v>
      </c>
      <c r="Q17" s="173">
        <f t="shared" si="0"/>
        <v>62.65</v>
      </c>
      <c r="R17" s="173">
        <f t="shared" si="1"/>
        <v>27.074999999999999</v>
      </c>
      <c r="S17" s="173">
        <f t="shared" si="2"/>
        <v>89.724999999999994</v>
      </c>
      <c r="T17" s="173"/>
    </row>
    <row r="18" spans="1:20" ht="20.100000000000001" customHeight="1">
      <c r="A18" s="2">
        <v>17</v>
      </c>
      <c r="B18" s="173"/>
      <c r="C18" s="173" t="s">
        <v>139</v>
      </c>
      <c r="D18" s="7" t="s">
        <v>1007</v>
      </c>
      <c r="E18" s="7"/>
      <c r="F18" s="7" t="s">
        <v>168</v>
      </c>
      <c r="G18" s="7" t="s">
        <v>79</v>
      </c>
      <c r="H18" s="7"/>
      <c r="I18" s="7" t="s">
        <v>26</v>
      </c>
      <c r="J18" s="173">
        <v>94</v>
      </c>
      <c r="K18" s="173">
        <v>5</v>
      </c>
      <c r="L18" s="173">
        <v>27</v>
      </c>
      <c r="M18" s="173">
        <v>14</v>
      </c>
      <c r="N18" s="173">
        <v>22.5</v>
      </c>
      <c r="O18" s="173">
        <f t="shared" si="3"/>
        <v>68.5</v>
      </c>
      <c r="P18" s="173">
        <f t="shared" si="4"/>
        <v>162.5</v>
      </c>
      <c r="Q18" s="173">
        <f t="shared" si="0"/>
        <v>65.8</v>
      </c>
      <c r="R18" s="173">
        <f t="shared" si="1"/>
        <v>20.55</v>
      </c>
      <c r="S18" s="173">
        <f t="shared" si="2"/>
        <v>86.35</v>
      </c>
      <c r="T18" s="173"/>
    </row>
    <row r="19" spans="1:20" ht="20.100000000000001" customHeight="1">
      <c r="A19" s="2">
        <v>18</v>
      </c>
      <c r="B19" s="173"/>
      <c r="C19" s="7" t="s">
        <v>52</v>
      </c>
      <c r="D19" s="7" t="s">
        <v>995</v>
      </c>
      <c r="E19" s="7"/>
      <c r="F19" s="7" t="s">
        <v>168</v>
      </c>
      <c r="G19" s="7" t="s">
        <v>79</v>
      </c>
      <c r="H19" s="7"/>
      <c r="I19" s="7" t="s">
        <v>26</v>
      </c>
      <c r="J19" s="173">
        <v>89</v>
      </c>
      <c r="K19" s="173">
        <v>10.5</v>
      </c>
      <c r="L19" s="173">
        <v>27</v>
      </c>
      <c r="M19" s="173">
        <v>13.75</v>
      </c>
      <c r="N19" s="173">
        <v>22</v>
      </c>
      <c r="O19" s="173">
        <f t="shared" si="3"/>
        <v>73.25</v>
      </c>
      <c r="P19" s="173">
        <f t="shared" si="4"/>
        <v>162.25</v>
      </c>
      <c r="Q19" s="173">
        <f t="shared" si="0"/>
        <v>62.3</v>
      </c>
      <c r="R19" s="173">
        <f t="shared" si="1"/>
        <v>21.974999999999998</v>
      </c>
      <c r="S19" s="173">
        <f t="shared" si="2"/>
        <v>84.274999999999991</v>
      </c>
      <c r="T19" s="173"/>
    </row>
    <row r="20" spans="1:20" ht="20.100000000000001" customHeight="1">
      <c r="A20" s="2">
        <v>19</v>
      </c>
      <c r="B20" s="173"/>
      <c r="C20" s="7" t="s">
        <v>54</v>
      </c>
      <c r="D20" s="7" t="s">
        <v>984</v>
      </c>
      <c r="E20" s="7"/>
      <c r="F20" s="7" t="s">
        <v>168</v>
      </c>
      <c r="G20" s="7" t="s">
        <v>79</v>
      </c>
      <c r="H20" s="7"/>
      <c r="I20" s="7" t="s">
        <v>26</v>
      </c>
      <c r="J20" s="173">
        <v>87</v>
      </c>
      <c r="K20" s="173">
        <v>15</v>
      </c>
      <c r="L20" s="173">
        <v>24</v>
      </c>
      <c r="M20" s="173">
        <v>13</v>
      </c>
      <c r="N20" s="173">
        <v>21.5</v>
      </c>
      <c r="O20" s="173">
        <f t="shared" si="3"/>
        <v>73.5</v>
      </c>
      <c r="P20" s="173">
        <f t="shared" si="4"/>
        <v>160.5</v>
      </c>
      <c r="Q20" s="173">
        <f t="shared" si="0"/>
        <v>60.9</v>
      </c>
      <c r="R20" s="173">
        <f t="shared" si="1"/>
        <v>22.05</v>
      </c>
      <c r="S20" s="173">
        <f t="shared" si="2"/>
        <v>82.95</v>
      </c>
      <c r="T20" s="173"/>
    </row>
    <row r="21" spans="1:20" ht="20.100000000000001" customHeight="1">
      <c r="A21" s="2">
        <v>20</v>
      </c>
      <c r="B21" s="173"/>
      <c r="C21" s="7" t="s">
        <v>80</v>
      </c>
      <c r="D21" s="7" t="s">
        <v>1001</v>
      </c>
      <c r="E21" s="7"/>
      <c r="F21" s="7" t="s">
        <v>168</v>
      </c>
      <c r="G21" s="7" t="s">
        <v>79</v>
      </c>
      <c r="H21" s="7"/>
      <c r="I21" s="7" t="s">
        <v>26</v>
      </c>
      <c r="J21" s="173">
        <v>85.5</v>
      </c>
      <c r="K21" s="173">
        <v>15</v>
      </c>
      <c r="L21" s="173">
        <v>27</v>
      </c>
      <c r="M21" s="173">
        <v>13</v>
      </c>
      <c r="N21" s="173">
        <v>20.5</v>
      </c>
      <c r="O21" s="173">
        <f t="shared" si="3"/>
        <v>75.5</v>
      </c>
      <c r="P21" s="173">
        <f t="shared" si="4"/>
        <v>161</v>
      </c>
      <c r="Q21" s="173">
        <f t="shared" si="0"/>
        <v>59.849999999999994</v>
      </c>
      <c r="R21" s="173">
        <f t="shared" si="1"/>
        <v>22.65</v>
      </c>
      <c r="S21" s="173">
        <f t="shared" si="2"/>
        <v>82.5</v>
      </c>
      <c r="T21" s="173"/>
    </row>
    <row r="22" spans="1:20" ht="20.100000000000001" customHeight="1">
      <c r="A22" s="2">
        <v>21</v>
      </c>
      <c r="B22" s="173"/>
      <c r="C22" s="7" t="s">
        <v>64</v>
      </c>
      <c r="D22" s="7" t="s">
        <v>970</v>
      </c>
      <c r="E22" s="7"/>
      <c r="F22" s="7" t="s">
        <v>168</v>
      </c>
      <c r="G22" s="7" t="s">
        <v>79</v>
      </c>
      <c r="H22" s="7"/>
      <c r="I22" s="7" t="s">
        <v>26</v>
      </c>
      <c r="J22" s="173">
        <v>88</v>
      </c>
      <c r="K22" s="173">
        <v>15</v>
      </c>
      <c r="L22" s="173">
        <v>22</v>
      </c>
      <c r="M22" s="173">
        <v>12</v>
      </c>
      <c r="N22" s="173">
        <v>20</v>
      </c>
      <c r="O22" s="173">
        <f t="shared" si="3"/>
        <v>69</v>
      </c>
      <c r="P22" s="173">
        <f t="shared" si="4"/>
        <v>157</v>
      </c>
      <c r="Q22" s="173">
        <f t="shared" si="0"/>
        <v>61.599999999999994</v>
      </c>
      <c r="R22" s="173">
        <f t="shared" si="1"/>
        <v>20.7</v>
      </c>
      <c r="S22" s="173">
        <f t="shared" si="2"/>
        <v>82.3</v>
      </c>
      <c r="T22" s="173"/>
    </row>
    <row r="23" spans="1:20" ht="20.100000000000001" customHeight="1">
      <c r="A23" s="2">
        <v>22</v>
      </c>
      <c r="B23" s="173"/>
      <c r="C23" s="7" t="s">
        <v>40</v>
      </c>
      <c r="D23" s="7" t="s">
        <v>1011</v>
      </c>
      <c r="E23" s="7"/>
      <c r="F23" s="7" t="s">
        <v>168</v>
      </c>
      <c r="G23" s="9" t="s">
        <v>79</v>
      </c>
      <c r="H23" s="7"/>
      <c r="I23" s="7" t="s">
        <v>26</v>
      </c>
      <c r="J23" s="173">
        <v>86</v>
      </c>
      <c r="K23" s="173">
        <v>15</v>
      </c>
      <c r="L23" s="173">
        <v>26</v>
      </c>
      <c r="M23" s="173">
        <v>12.25</v>
      </c>
      <c r="N23" s="173">
        <v>20.25</v>
      </c>
      <c r="O23" s="173">
        <f t="shared" si="3"/>
        <v>73.5</v>
      </c>
      <c r="P23" s="173">
        <f t="shared" si="4"/>
        <v>159.5</v>
      </c>
      <c r="Q23" s="173">
        <f t="shared" si="0"/>
        <v>60.199999999999996</v>
      </c>
      <c r="R23" s="173">
        <f t="shared" si="1"/>
        <v>22.05</v>
      </c>
      <c r="S23" s="173">
        <f t="shared" si="2"/>
        <v>82.25</v>
      </c>
      <c r="T23" s="173"/>
    </row>
    <row r="24" spans="1:20" ht="20.100000000000001" customHeight="1">
      <c r="A24" s="2">
        <v>23</v>
      </c>
      <c r="B24" s="173"/>
      <c r="C24" s="7" t="s">
        <v>106</v>
      </c>
      <c r="D24" s="7" t="s">
        <v>1002</v>
      </c>
      <c r="E24" s="7"/>
      <c r="F24" s="7" t="s">
        <v>168</v>
      </c>
      <c r="G24" s="7" t="s">
        <v>79</v>
      </c>
      <c r="H24" s="7"/>
      <c r="I24" s="7" t="s">
        <v>26</v>
      </c>
      <c r="J24" s="173">
        <v>83</v>
      </c>
      <c r="K24" s="173">
        <v>15</v>
      </c>
      <c r="L24" s="173">
        <v>23</v>
      </c>
      <c r="M24" s="173">
        <v>13</v>
      </c>
      <c r="N24" s="173">
        <v>20.75</v>
      </c>
      <c r="O24" s="173">
        <f t="shared" si="3"/>
        <v>71.75</v>
      </c>
      <c r="P24" s="173">
        <f t="shared" si="4"/>
        <v>154.75</v>
      </c>
      <c r="Q24" s="173">
        <f t="shared" si="0"/>
        <v>58.099999999999994</v>
      </c>
      <c r="R24" s="173">
        <f t="shared" si="1"/>
        <v>21.524999999999999</v>
      </c>
      <c r="S24" s="173">
        <f t="shared" si="2"/>
        <v>79.625</v>
      </c>
      <c r="T24" s="173"/>
    </row>
    <row r="25" spans="1:20" ht="20.100000000000001" customHeight="1">
      <c r="A25" s="2">
        <v>24</v>
      </c>
      <c r="B25" s="173"/>
      <c r="C25" s="7" t="s">
        <v>990</v>
      </c>
      <c r="D25" s="7" t="s">
        <v>989</v>
      </c>
      <c r="E25" s="7"/>
      <c r="F25" s="7" t="s">
        <v>168</v>
      </c>
      <c r="G25" s="7" t="s">
        <v>79</v>
      </c>
      <c r="H25" s="7"/>
      <c r="I25" s="7" t="s">
        <v>26</v>
      </c>
      <c r="J25" s="173">
        <v>82.5</v>
      </c>
      <c r="K25" s="173">
        <v>15</v>
      </c>
      <c r="L25" s="173">
        <v>23</v>
      </c>
      <c r="M25" s="173">
        <v>12.75</v>
      </c>
      <c r="N25" s="173">
        <v>20.25</v>
      </c>
      <c r="O25" s="173">
        <f t="shared" si="3"/>
        <v>71</v>
      </c>
      <c r="P25" s="173">
        <f t="shared" si="4"/>
        <v>153.5</v>
      </c>
      <c r="Q25" s="173">
        <f t="shared" si="0"/>
        <v>57.749999999999993</v>
      </c>
      <c r="R25" s="173">
        <f t="shared" si="1"/>
        <v>21.3</v>
      </c>
      <c r="S25" s="173">
        <f t="shared" si="2"/>
        <v>79.05</v>
      </c>
      <c r="T25" s="173"/>
    </row>
    <row r="26" spans="1:20" ht="20.100000000000001" customHeight="1">
      <c r="A26" s="2">
        <v>25</v>
      </c>
      <c r="B26" s="173"/>
      <c r="C26" s="7" t="s">
        <v>80</v>
      </c>
      <c r="D26" s="7" t="s">
        <v>1000</v>
      </c>
      <c r="E26" s="7"/>
      <c r="F26" s="7" t="s">
        <v>168</v>
      </c>
      <c r="G26" s="7" t="s">
        <v>79</v>
      </c>
      <c r="H26" s="7"/>
      <c r="I26" s="7" t="s">
        <v>26</v>
      </c>
      <c r="J26" s="173">
        <v>70</v>
      </c>
      <c r="K26" s="173">
        <v>15</v>
      </c>
      <c r="L26" s="173">
        <v>28</v>
      </c>
      <c r="M26" s="173">
        <v>14</v>
      </c>
      <c r="N26" s="173">
        <v>21</v>
      </c>
      <c r="O26" s="173">
        <f t="shared" si="3"/>
        <v>78</v>
      </c>
      <c r="P26" s="173">
        <f t="shared" si="4"/>
        <v>148</v>
      </c>
      <c r="Q26" s="173">
        <f t="shared" si="0"/>
        <v>49</v>
      </c>
      <c r="R26" s="173">
        <f t="shared" si="1"/>
        <v>23.4</v>
      </c>
      <c r="S26" s="173">
        <f t="shared" si="2"/>
        <v>72.400000000000006</v>
      </c>
      <c r="T26" s="173"/>
    </row>
    <row r="27" spans="1:20" ht="20.100000000000001" customHeight="1">
      <c r="A27" s="2">
        <v>26</v>
      </c>
      <c r="B27" s="173"/>
      <c r="C27" s="7" t="s">
        <v>53</v>
      </c>
      <c r="D27" s="7" t="s">
        <v>992</v>
      </c>
      <c r="E27" s="7"/>
      <c r="F27" s="7" t="s">
        <v>168</v>
      </c>
      <c r="G27" s="7" t="s">
        <v>79</v>
      </c>
      <c r="H27" s="7"/>
      <c r="I27" s="7" t="s">
        <v>26</v>
      </c>
      <c r="J27" s="30"/>
      <c r="K27" s="173"/>
      <c r="L27" s="173"/>
      <c r="M27" s="173"/>
      <c r="N27" s="173"/>
      <c r="O27" s="30"/>
      <c r="P27" s="173"/>
      <c r="Q27" s="173">
        <f t="shared" si="0"/>
        <v>0</v>
      </c>
      <c r="R27" s="173">
        <f t="shared" si="1"/>
        <v>0</v>
      </c>
      <c r="S27" s="173">
        <f t="shared" si="2"/>
        <v>0</v>
      </c>
      <c r="T27" s="173" t="s">
        <v>1277</v>
      </c>
    </row>
    <row r="28" spans="1:20" ht="20.100000000000001" customHeight="1">
      <c r="A28" s="2">
        <v>27</v>
      </c>
      <c r="B28" s="173"/>
      <c r="C28" s="7" t="s">
        <v>280</v>
      </c>
      <c r="D28" s="30" t="s">
        <v>994</v>
      </c>
      <c r="E28" s="7"/>
      <c r="F28" s="7" t="s">
        <v>168</v>
      </c>
      <c r="G28" s="7" t="s">
        <v>79</v>
      </c>
      <c r="H28" s="8"/>
      <c r="I28" s="7" t="s">
        <v>26</v>
      </c>
      <c r="J28" s="30"/>
      <c r="K28" s="173"/>
      <c r="L28" s="173"/>
      <c r="M28" s="173"/>
      <c r="N28" s="173"/>
      <c r="O28" s="173"/>
      <c r="P28" s="173"/>
      <c r="Q28" s="173">
        <f t="shared" si="0"/>
        <v>0</v>
      </c>
      <c r="R28" s="173">
        <f t="shared" si="1"/>
        <v>0</v>
      </c>
      <c r="S28" s="173">
        <f t="shared" si="2"/>
        <v>0</v>
      </c>
      <c r="T28" s="173" t="s">
        <v>1277</v>
      </c>
    </row>
    <row r="29" spans="1:20" ht="20.100000000000001" customHeight="1">
      <c r="A29" s="2">
        <v>28</v>
      </c>
      <c r="B29" s="173"/>
      <c r="C29" s="7" t="s">
        <v>53</v>
      </c>
      <c r="D29" s="7" t="s">
        <v>993</v>
      </c>
      <c r="E29" s="7"/>
      <c r="F29" s="7" t="s">
        <v>168</v>
      </c>
      <c r="G29" s="7" t="s">
        <v>79</v>
      </c>
      <c r="H29" s="7"/>
      <c r="I29" s="7" t="s">
        <v>26</v>
      </c>
      <c r="J29" s="30"/>
      <c r="K29" s="173"/>
      <c r="L29" s="173"/>
      <c r="M29" s="173"/>
      <c r="N29" s="173"/>
      <c r="O29" s="30"/>
      <c r="P29" s="173"/>
      <c r="Q29" s="173">
        <f t="shared" si="0"/>
        <v>0</v>
      </c>
      <c r="R29" s="173">
        <f t="shared" si="1"/>
        <v>0</v>
      </c>
      <c r="S29" s="173">
        <f t="shared" si="2"/>
        <v>0</v>
      </c>
      <c r="T29" s="173" t="s">
        <v>1277</v>
      </c>
    </row>
    <row r="30" spans="1:20" ht="20.100000000000001" customHeight="1">
      <c r="A30" s="2">
        <v>29</v>
      </c>
      <c r="B30" s="173"/>
      <c r="C30" s="7" t="s">
        <v>59</v>
      </c>
      <c r="D30" s="7" t="s">
        <v>976</v>
      </c>
      <c r="E30" s="7"/>
      <c r="F30" s="7" t="s">
        <v>168</v>
      </c>
      <c r="G30" s="7" t="s">
        <v>79</v>
      </c>
      <c r="H30" s="7"/>
      <c r="I30" s="7" t="s">
        <v>257</v>
      </c>
      <c r="J30" s="9"/>
      <c r="K30" s="173"/>
      <c r="L30" s="173"/>
      <c r="M30" s="173"/>
      <c r="N30" s="173"/>
      <c r="O30" s="9"/>
      <c r="P30" s="173"/>
      <c r="Q30" s="173">
        <f t="shared" si="0"/>
        <v>0</v>
      </c>
      <c r="R30" s="173">
        <f t="shared" si="1"/>
        <v>0</v>
      </c>
      <c r="S30" s="173">
        <f t="shared" si="2"/>
        <v>0</v>
      </c>
      <c r="T30" s="173" t="s">
        <v>1277</v>
      </c>
    </row>
    <row r="31" spans="1:20" ht="20.100000000000001" customHeight="1">
      <c r="A31" s="2">
        <v>30</v>
      </c>
      <c r="B31" s="128"/>
      <c r="C31" s="23" t="s">
        <v>54</v>
      </c>
      <c r="D31" s="23" t="s">
        <v>985</v>
      </c>
      <c r="E31" s="23"/>
      <c r="F31" s="23" t="s">
        <v>168</v>
      </c>
      <c r="G31" s="23" t="s">
        <v>79</v>
      </c>
      <c r="H31" s="23"/>
      <c r="I31" s="23" t="s">
        <v>25</v>
      </c>
      <c r="J31" s="128">
        <v>100</v>
      </c>
      <c r="K31" s="128">
        <v>15</v>
      </c>
      <c r="L31" s="128">
        <v>30</v>
      </c>
      <c r="M31" s="128">
        <v>13.5</v>
      </c>
      <c r="N31" s="128">
        <v>21</v>
      </c>
      <c r="O31" s="128">
        <f t="shared" ref="O31:O47" si="5">SUM(K31:N31)</f>
        <v>79.5</v>
      </c>
      <c r="P31" s="128">
        <f t="shared" ref="P31:P47" si="6">SUM(J31:N31)</f>
        <v>179.5</v>
      </c>
      <c r="Q31" s="128">
        <f t="shared" si="0"/>
        <v>70</v>
      </c>
      <c r="R31" s="128">
        <f t="shared" si="1"/>
        <v>23.849999999999998</v>
      </c>
      <c r="S31" s="128">
        <f t="shared" si="2"/>
        <v>93.85</v>
      </c>
      <c r="T31" s="128"/>
    </row>
    <row r="32" spans="1:20" ht="20.100000000000001" customHeight="1">
      <c r="A32" s="2">
        <v>31</v>
      </c>
      <c r="B32" s="128"/>
      <c r="C32" s="23" t="s">
        <v>58</v>
      </c>
      <c r="D32" s="23" t="s">
        <v>980</v>
      </c>
      <c r="E32" s="23"/>
      <c r="F32" s="23" t="s">
        <v>168</v>
      </c>
      <c r="G32" s="23" t="s">
        <v>79</v>
      </c>
      <c r="H32" s="23"/>
      <c r="I32" s="23" t="s">
        <v>25</v>
      </c>
      <c r="J32" s="128">
        <v>96</v>
      </c>
      <c r="K32" s="128">
        <v>15</v>
      </c>
      <c r="L32" s="128">
        <v>30</v>
      </c>
      <c r="M32" s="128">
        <v>15</v>
      </c>
      <c r="N32" s="128">
        <v>23</v>
      </c>
      <c r="O32" s="128">
        <f t="shared" si="5"/>
        <v>83</v>
      </c>
      <c r="P32" s="128">
        <f t="shared" si="6"/>
        <v>179</v>
      </c>
      <c r="Q32" s="128">
        <f t="shared" si="0"/>
        <v>67.199999999999989</v>
      </c>
      <c r="R32" s="128">
        <f t="shared" si="1"/>
        <v>24.9</v>
      </c>
      <c r="S32" s="128">
        <f t="shared" si="2"/>
        <v>92.1</v>
      </c>
      <c r="T32" s="128"/>
    </row>
    <row r="33" spans="1:20" ht="20.100000000000001" customHeight="1">
      <c r="A33" s="2">
        <v>32</v>
      </c>
      <c r="B33" s="94"/>
      <c r="C33" s="23" t="s">
        <v>40</v>
      </c>
      <c r="D33" s="23" t="s">
        <v>1009</v>
      </c>
      <c r="E33" s="23"/>
      <c r="F33" s="23" t="s">
        <v>168</v>
      </c>
      <c r="G33" s="24" t="s">
        <v>79</v>
      </c>
      <c r="H33" s="23"/>
      <c r="I33" s="23" t="s">
        <v>25</v>
      </c>
      <c r="J33" s="128">
        <v>96</v>
      </c>
      <c r="K33" s="128">
        <v>15</v>
      </c>
      <c r="L33" s="128">
        <v>30</v>
      </c>
      <c r="M33" s="128">
        <v>14.75</v>
      </c>
      <c r="N33" s="128">
        <v>22.25</v>
      </c>
      <c r="O33" s="128">
        <f t="shared" si="5"/>
        <v>82</v>
      </c>
      <c r="P33" s="128">
        <f t="shared" si="6"/>
        <v>178</v>
      </c>
      <c r="Q33" s="128">
        <f t="shared" si="0"/>
        <v>67.199999999999989</v>
      </c>
      <c r="R33" s="128">
        <f t="shared" si="1"/>
        <v>24.599999999999998</v>
      </c>
      <c r="S33" s="128">
        <f t="shared" si="2"/>
        <v>91.799999999999983</v>
      </c>
      <c r="T33" s="94"/>
    </row>
    <row r="34" spans="1:20" ht="20.100000000000001" customHeight="1">
      <c r="A34" s="2">
        <v>33</v>
      </c>
      <c r="B34" s="128"/>
      <c r="C34" s="23" t="s">
        <v>59</v>
      </c>
      <c r="D34" s="23" t="s">
        <v>975</v>
      </c>
      <c r="E34" s="23"/>
      <c r="F34" s="23" t="s">
        <v>168</v>
      </c>
      <c r="G34" s="23" t="s">
        <v>79</v>
      </c>
      <c r="H34" s="23"/>
      <c r="I34" s="23" t="s">
        <v>259</v>
      </c>
      <c r="J34" s="128">
        <v>97</v>
      </c>
      <c r="K34" s="128">
        <v>14</v>
      </c>
      <c r="L34" s="128">
        <v>28</v>
      </c>
      <c r="M34" s="128">
        <v>14.5</v>
      </c>
      <c r="N34" s="128">
        <v>22</v>
      </c>
      <c r="O34" s="128">
        <f t="shared" si="5"/>
        <v>78.5</v>
      </c>
      <c r="P34" s="128">
        <f t="shared" si="6"/>
        <v>175.5</v>
      </c>
      <c r="Q34" s="128">
        <f t="shared" si="0"/>
        <v>67.899999999999991</v>
      </c>
      <c r="R34" s="128">
        <f t="shared" si="1"/>
        <v>23.55</v>
      </c>
      <c r="S34" s="128">
        <f t="shared" si="2"/>
        <v>91.449999999999989</v>
      </c>
      <c r="T34" s="128"/>
    </row>
    <row r="35" spans="1:20" ht="20.100000000000001" customHeight="1">
      <c r="A35" s="2">
        <v>34</v>
      </c>
      <c r="B35" s="128"/>
      <c r="C35" s="23" t="s">
        <v>75</v>
      </c>
      <c r="D35" s="23" t="s">
        <v>1006</v>
      </c>
      <c r="E35" s="96"/>
      <c r="F35" s="23" t="s">
        <v>168</v>
      </c>
      <c r="G35" s="23" t="s">
        <v>79</v>
      </c>
      <c r="H35" s="96"/>
      <c r="I35" s="23" t="s">
        <v>25</v>
      </c>
      <c r="J35" s="128">
        <v>100</v>
      </c>
      <c r="K35" s="128">
        <v>15</v>
      </c>
      <c r="L35" s="128">
        <v>21</v>
      </c>
      <c r="M35" s="128">
        <v>12</v>
      </c>
      <c r="N35" s="128">
        <v>20</v>
      </c>
      <c r="O35" s="128">
        <f t="shared" si="5"/>
        <v>68</v>
      </c>
      <c r="P35" s="128">
        <f t="shared" si="6"/>
        <v>168</v>
      </c>
      <c r="Q35" s="128">
        <f t="shared" si="0"/>
        <v>70</v>
      </c>
      <c r="R35" s="128">
        <f t="shared" si="1"/>
        <v>20.399999999999999</v>
      </c>
      <c r="S35" s="128">
        <f t="shared" si="2"/>
        <v>90.4</v>
      </c>
      <c r="T35" s="128"/>
    </row>
    <row r="36" spans="1:20" ht="20.100000000000001" customHeight="1">
      <c r="A36" s="2">
        <v>35</v>
      </c>
      <c r="B36" s="94"/>
      <c r="C36" s="23" t="s">
        <v>27</v>
      </c>
      <c r="D36" s="23" t="s">
        <v>982</v>
      </c>
      <c r="E36" s="23"/>
      <c r="F36" s="23" t="s">
        <v>168</v>
      </c>
      <c r="G36" s="23" t="s">
        <v>79</v>
      </c>
      <c r="H36" s="23"/>
      <c r="I36" s="23" t="s">
        <v>25</v>
      </c>
      <c r="J36" s="128">
        <v>98</v>
      </c>
      <c r="K36" s="128">
        <v>14</v>
      </c>
      <c r="L36" s="128">
        <v>20</v>
      </c>
      <c r="M36" s="128">
        <v>12.75</v>
      </c>
      <c r="N36" s="128">
        <v>20.5</v>
      </c>
      <c r="O36" s="128">
        <f t="shared" si="5"/>
        <v>67.25</v>
      </c>
      <c r="P36" s="128">
        <f t="shared" si="6"/>
        <v>165.25</v>
      </c>
      <c r="Q36" s="128">
        <f t="shared" si="0"/>
        <v>68.599999999999994</v>
      </c>
      <c r="R36" s="128">
        <f t="shared" si="1"/>
        <v>20.175000000000001</v>
      </c>
      <c r="S36" s="128">
        <f t="shared" si="2"/>
        <v>88.774999999999991</v>
      </c>
      <c r="T36" s="94"/>
    </row>
    <row r="37" spans="1:20" ht="20.100000000000001" customHeight="1">
      <c r="A37" s="2">
        <v>36</v>
      </c>
      <c r="B37" s="128"/>
      <c r="C37" s="23" t="s">
        <v>40</v>
      </c>
      <c r="D37" s="23" t="s">
        <v>1010</v>
      </c>
      <c r="E37" s="23"/>
      <c r="F37" s="23" t="s">
        <v>168</v>
      </c>
      <c r="G37" s="24" t="s">
        <v>79</v>
      </c>
      <c r="H37" s="23"/>
      <c r="I37" s="23" t="s">
        <v>25</v>
      </c>
      <c r="J37" s="128">
        <v>92.5</v>
      </c>
      <c r="K37" s="128">
        <v>15</v>
      </c>
      <c r="L37" s="128">
        <v>26</v>
      </c>
      <c r="M37" s="128">
        <v>14.25</v>
      </c>
      <c r="N37" s="128">
        <v>22.5</v>
      </c>
      <c r="O37" s="128">
        <f t="shared" si="5"/>
        <v>77.75</v>
      </c>
      <c r="P37" s="128">
        <f t="shared" si="6"/>
        <v>170.25</v>
      </c>
      <c r="Q37" s="128">
        <f t="shared" si="0"/>
        <v>64.75</v>
      </c>
      <c r="R37" s="128">
        <f t="shared" si="1"/>
        <v>23.324999999999999</v>
      </c>
      <c r="S37" s="128">
        <f t="shared" si="2"/>
        <v>88.075000000000003</v>
      </c>
      <c r="T37" s="128"/>
    </row>
    <row r="38" spans="1:20" ht="20.100000000000001" customHeight="1">
      <c r="A38" s="2">
        <v>37</v>
      </c>
      <c r="B38" s="128"/>
      <c r="C38" s="23" t="s">
        <v>196</v>
      </c>
      <c r="D38" s="23" t="s">
        <v>981</v>
      </c>
      <c r="E38" s="23"/>
      <c r="F38" s="23" t="s">
        <v>168</v>
      </c>
      <c r="G38" s="23" t="s">
        <v>79</v>
      </c>
      <c r="H38" s="23"/>
      <c r="I38" s="23" t="s">
        <v>25</v>
      </c>
      <c r="J38" s="128">
        <v>95</v>
      </c>
      <c r="K38" s="128">
        <v>13</v>
      </c>
      <c r="L38" s="128">
        <v>25</v>
      </c>
      <c r="M38" s="128">
        <v>12.5</v>
      </c>
      <c r="N38" s="128">
        <v>20.75</v>
      </c>
      <c r="O38" s="128">
        <f t="shared" si="5"/>
        <v>71.25</v>
      </c>
      <c r="P38" s="128">
        <f t="shared" si="6"/>
        <v>166.25</v>
      </c>
      <c r="Q38" s="128">
        <f t="shared" si="0"/>
        <v>66.5</v>
      </c>
      <c r="R38" s="128">
        <f t="shared" si="1"/>
        <v>21.375</v>
      </c>
      <c r="S38" s="128">
        <f t="shared" si="2"/>
        <v>87.875</v>
      </c>
      <c r="T38" s="128"/>
    </row>
    <row r="39" spans="1:20" ht="20.100000000000001" customHeight="1">
      <c r="A39" s="2">
        <v>38</v>
      </c>
      <c r="B39" s="128"/>
      <c r="C39" s="23" t="s">
        <v>1233</v>
      </c>
      <c r="D39" s="128" t="s">
        <v>1207</v>
      </c>
      <c r="E39" s="181"/>
      <c r="F39" s="23" t="s">
        <v>168</v>
      </c>
      <c r="G39" s="23" t="s">
        <v>79</v>
      </c>
      <c r="H39" s="181"/>
      <c r="I39" s="23" t="s">
        <v>25</v>
      </c>
      <c r="J39" s="128">
        <v>96</v>
      </c>
      <c r="K39" s="128">
        <v>11.5</v>
      </c>
      <c r="L39" s="128">
        <v>22</v>
      </c>
      <c r="M39" s="128">
        <v>11.5</v>
      </c>
      <c r="N39" s="128">
        <v>21</v>
      </c>
      <c r="O39" s="128">
        <f t="shared" si="5"/>
        <v>66</v>
      </c>
      <c r="P39" s="128">
        <f t="shared" si="6"/>
        <v>162</v>
      </c>
      <c r="Q39" s="128">
        <f t="shared" si="0"/>
        <v>67.199999999999989</v>
      </c>
      <c r="R39" s="128">
        <f t="shared" si="1"/>
        <v>19.8</v>
      </c>
      <c r="S39" s="128">
        <f t="shared" si="2"/>
        <v>86.999999999999986</v>
      </c>
      <c r="T39" s="128"/>
    </row>
    <row r="40" spans="1:20" ht="20.100000000000001" customHeight="1">
      <c r="A40" s="2">
        <v>39</v>
      </c>
      <c r="B40" s="128"/>
      <c r="C40" s="23" t="s">
        <v>61</v>
      </c>
      <c r="D40" s="23" t="s">
        <v>972</v>
      </c>
      <c r="E40" s="23"/>
      <c r="F40" s="23" t="s">
        <v>168</v>
      </c>
      <c r="G40" s="23" t="s">
        <v>79</v>
      </c>
      <c r="H40" s="23"/>
      <c r="I40" s="23" t="s">
        <v>25</v>
      </c>
      <c r="J40" s="128">
        <v>91.5</v>
      </c>
      <c r="K40" s="128">
        <v>13.5</v>
      </c>
      <c r="L40" s="128">
        <v>27</v>
      </c>
      <c r="M40" s="128">
        <v>14.5</v>
      </c>
      <c r="N40" s="128">
        <v>21.25</v>
      </c>
      <c r="O40" s="128">
        <f t="shared" si="5"/>
        <v>76.25</v>
      </c>
      <c r="P40" s="128">
        <f t="shared" si="6"/>
        <v>167.75</v>
      </c>
      <c r="Q40" s="128">
        <f t="shared" si="0"/>
        <v>64.05</v>
      </c>
      <c r="R40" s="128">
        <f t="shared" si="1"/>
        <v>22.875</v>
      </c>
      <c r="S40" s="128">
        <f t="shared" si="2"/>
        <v>86.924999999999997</v>
      </c>
      <c r="T40" s="128"/>
    </row>
    <row r="41" spans="1:20" ht="20.100000000000001" customHeight="1">
      <c r="A41" s="2">
        <v>40</v>
      </c>
      <c r="B41" s="128"/>
      <c r="C41" s="23" t="s">
        <v>1238</v>
      </c>
      <c r="D41" s="128" t="s">
        <v>1209</v>
      </c>
      <c r="E41" s="179"/>
      <c r="F41" s="23" t="s">
        <v>168</v>
      </c>
      <c r="G41" s="23" t="s">
        <v>79</v>
      </c>
      <c r="H41" s="180"/>
      <c r="I41" s="178" t="s">
        <v>25</v>
      </c>
      <c r="J41" s="128">
        <v>89</v>
      </c>
      <c r="K41" s="128">
        <v>15</v>
      </c>
      <c r="L41" s="128">
        <v>28</v>
      </c>
      <c r="M41" s="128">
        <v>12.75</v>
      </c>
      <c r="N41" s="128">
        <v>20</v>
      </c>
      <c r="O41" s="128">
        <f t="shared" si="5"/>
        <v>75.75</v>
      </c>
      <c r="P41" s="128">
        <f t="shared" si="6"/>
        <v>164.75</v>
      </c>
      <c r="Q41" s="128">
        <f t="shared" si="0"/>
        <v>62.3</v>
      </c>
      <c r="R41" s="128">
        <f t="shared" si="1"/>
        <v>22.724999999999998</v>
      </c>
      <c r="S41" s="128">
        <f t="shared" si="2"/>
        <v>85.024999999999991</v>
      </c>
      <c r="T41" s="128"/>
    </row>
    <row r="42" spans="1:20" ht="20.100000000000001" customHeight="1">
      <c r="A42" s="2">
        <v>41</v>
      </c>
      <c r="B42" s="128"/>
      <c r="C42" s="23" t="s">
        <v>61</v>
      </c>
      <c r="D42" s="23" t="s">
        <v>973</v>
      </c>
      <c r="E42" s="23"/>
      <c r="F42" s="23" t="s">
        <v>168</v>
      </c>
      <c r="G42" s="23" t="s">
        <v>79</v>
      </c>
      <c r="H42" s="23"/>
      <c r="I42" s="23" t="s">
        <v>25</v>
      </c>
      <c r="J42" s="128">
        <v>92</v>
      </c>
      <c r="K42" s="128">
        <v>15</v>
      </c>
      <c r="L42" s="128">
        <v>20</v>
      </c>
      <c r="M42" s="128">
        <v>13.25</v>
      </c>
      <c r="N42" s="128">
        <v>20</v>
      </c>
      <c r="O42" s="128">
        <f t="shared" si="5"/>
        <v>68.25</v>
      </c>
      <c r="P42" s="128">
        <f t="shared" si="6"/>
        <v>160.25</v>
      </c>
      <c r="Q42" s="128">
        <f t="shared" si="0"/>
        <v>64.399999999999991</v>
      </c>
      <c r="R42" s="128">
        <f t="shared" si="1"/>
        <v>20.474999999999998</v>
      </c>
      <c r="S42" s="128">
        <f t="shared" si="2"/>
        <v>84.874999999999986</v>
      </c>
      <c r="T42" s="128"/>
    </row>
    <row r="43" spans="1:20" ht="20.100000000000001" customHeight="1">
      <c r="A43" s="2">
        <v>42</v>
      </c>
      <c r="B43" s="128"/>
      <c r="C43" s="23" t="s">
        <v>1250</v>
      </c>
      <c r="D43" s="128" t="s">
        <v>1210</v>
      </c>
      <c r="E43" s="178"/>
      <c r="F43" s="23" t="s">
        <v>168</v>
      </c>
      <c r="G43" s="23" t="s">
        <v>79</v>
      </c>
      <c r="H43" s="178"/>
      <c r="I43" s="178" t="s">
        <v>25</v>
      </c>
      <c r="J43" s="128">
        <v>87</v>
      </c>
      <c r="K43" s="128">
        <v>15</v>
      </c>
      <c r="L43" s="128">
        <v>25</v>
      </c>
      <c r="M43" s="128">
        <v>12.75</v>
      </c>
      <c r="N43" s="128">
        <v>20.5</v>
      </c>
      <c r="O43" s="128">
        <f t="shared" si="5"/>
        <v>73.25</v>
      </c>
      <c r="P43" s="128">
        <f t="shared" si="6"/>
        <v>160.25</v>
      </c>
      <c r="Q43" s="128">
        <f t="shared" si="0"/>
        <v>60.9</v>
      </c>
      <c r="R43" s="128">
        <f t="shared" si="1"/>
        <v>21.974999999999998</v>
      </c>
      <c r="S43" s="128">
        <f t="shared" si="2"/>
        <v>82.875</v>
      </c>
      <c r="T43" s="128"/>
    </row>
    <row r="44" spans="1:20" ht="20.100000000000001" customHeight="1">
      <c r="A44" s="2">
        <v>43</v>
      </c>
      <c r="B44" s="128"/>
      <c r="C44" s="23" t="s">
        <v>132</v>
      </c>
      <c r="D44" s="23" t="s">
        <v>997</v>
      </c>
      <c r="E44" s="23"/>
      <c r="F44" s="23" t="s">
        <v>168</v>
      </c>
      <c r="G44" s="23" t="s">
        <v>79</v>
      </c>
      <c r="H44" s="23"/>
      <c r="I44" s="23" t="s">
        <v>25</v>
      </c>
      <c r="J44" s="128">
        <v>87</v>
      </c>
      <c r="K44" s="128">
        <v>15</v>
      </c>
      <c r="L44" s="128">
        <v>24</v>
      </c>
      <c r="M44" s="128">
        <v>13</v>
      </c>
      <c r="N44" s="128">
        <v>21</v>
      </c>
      <c r="O44" s="128">
        <f t="shared" si="5"/>
        <v>73</v>
      </c>
      <c r="P44" s="128">
        <f t="shared" si="6"/>
        <v>160</v>
      </c>
      <c r="Q44" s="128">
        <f t="shared" si="0"/>
        <v>60.9</v>
      </c>
      <c r="R44" s="128">
        <f t="shared" si="1"/>
        <v>21.9</v>
      </c>
      <c r="S44" s="128">
        <f t="shared" si="2"/>
        <v>82.8</v>
      </c>
      <c r="T44" s="128"/>
    </row>
    <row r="45" spans="1:20" ht="20.100000000000001" customHeight="1">
      <c r="A45" s="2">
        <v>44</v>
      </c>
      <c r="B45" s="128"/>
      <c r="C45" s="23" t="s">
        <v>132</v>
      </c>
      <c r="D45" s="23" t="s">
        <v>996</v>
      </c>
      <c r="E45" s="23"/>
      <c r="F45" s="23" t="s">
        <v>168</v>
      </c>
      <c r="G45" s="23" t="s">
        <v>79</v>
      </c>
      <c r="H45" s="23"/>
      <c r="I45" s="23" t="s">
        <v>25</v>
      </c>
      <c r="J45" s="128">
        <v>87</v>
      </c>
      <c r="K45" s="128">
        <v>14</v>
      </c>
      <c r="L45" s="128">
        <v>23</v>
      </c>
      <c r="M45" s="128">
        <v>13</v>
      </c>
      <c r="N45" s="128">
        <v>21</v>
      </c>
      <c r="O45" s="128">
        <f t="shared" si="5"/>
        <v>71</v>
      </c>
      <c r="P45" s="128">
        <f t="shared" si="6"/>
        <v>158</v>
      </c>
      <c r="Q45" s="128">
        <f t="shared" si="0"/>
        <v>60.9</v>
      </c>
      <c r="R45" s="128">
        <f t="shared" si="1"/>
        <v>21.3</v>
      </c>
      <c r="S45" s="128">
        <f t="shared" si="2"/>
        <v>82.2</v>
      </c>
      <c r="T45" s="128"/>
    </row>
    <row r="46" spans="1:20" ht="20.100000000000001" customHeight="1">
      <c r="A46" s="2">
        <v>45</v>
      </c>
      <c r="B46" s="128"/>
      <c r="C46" s="23" t="s">
        <v>1186</v>
      </c>
      <c r="D46" s="128" t="s">
        <v>1206</v>
      </c>
      <c r="E46" s="178"/>
      <c r="F46" s="23" t="s">
        <v>168</v>
      </c>
      <c r="G46" s="23" t="s">
        <v>79</v>
      </c>
      <c r="H46" s="178"/>
      <c r="I46" s="128" t="s">
        <v>25</v>
      </c>
      <c r="J46" s="128">
        <v>77.5</v>
      </c>
      <c r="K46" s="128">
        <v>15</v>
      </c>
      <c r="L46" s="128">
        <v>28</v>
      </c>
      <c r="M46" s="128">
        <v>13</v>
      </c>
      <c r="N46" s="128">
        <v>20.5</v>
      </c>
      <c r="O46" s="128">
        <f t="shared" si="5"/>
        <v>76.5</v>
      </c>
      <c r="P46" s="128">
        <f t="shared" si="6"/>
        <v>154</v>
      </c>
      <c r="Q46" s="128">
        <f t="shared" si="0"/>
        <v>54.25</v>
      </c>
      <c r="R46" s="128">
        <f t="shared" si="1"/>
        <v>22.95</v>
      </c>
      <c r="S46" s="128">
        <f t="shared" si="2"/>
        <v>77.2</v>
      </c>
      <c r="T46" s="128"/>
    </row>
    <row r="47" spans="1:20">
      <c r="A47" s="2">
        <v>46</v>
      </c>
      <c r="B47" s="128"/>
      <c r="C47" s="23" t="s">
        <v>1237</v>
      </c>
      <c r="D47" s="128" t="s">
        <v>1251</v>
      </c>
      <c r="E47" s="181"/>
      <c r="F47" s="178" t="s">
        <v>168</v>
      </c>
      <c r="G47" s="23" t="s">
        <v>79</v>
      </c>
      <c r="H47" s="181"/>
      <c r="I47" s="128" t="s">
        <v>25</v>
      </c>
      <c r="J47" s="128">
        <v>75</v>
      </c>
      <c r="K47" s="128">
        <v>15</v>
      </c>
      <c r="L47" s="128">
        <v>30</v>
      </c>
      <c r="M47" s="128">
        <v>14</v>
      </c>
      <c r="N47" s="128">
        <v>22</v>
      </c>
      <c r="O47" s="128">
        <f t="shared" si="5"/>
        <v>81</v>
      </c>
      <c r="P47" s="128">
        <f t="shared" si="6"/>
        <v>156</v>
      </c>
      <c r="Q47" s="128">
        <f t="shared" si="0"/>
        <v>52.5</v>
      </c>
      <c r="R47" s="128">
        <f t="shared" si="1"/>
        <v>24.3</v>
      </c>
      <c r="S47" s="128">
        <f t="shared" si="2"/>
        <v>76.8</v>
      </c>
      <c r="T47" s="128"/>
    </row>
    <row r="48" spans="1:20">
      <c r="A48" s="2">
        <v>47</v>
      </c>
      <c r="B48" s="128"/>
      <c r="C48" s="95" t="s">
        <v>127</v>
      </c>
      <c r="D48" s="95" t="s">
        <v>999</v>
      </c>
      <c r="E48" s="95"/>
      <c r="F48" s="95" t="s">
        <v>168</v>
      </c>
      <c r="G48" s="95" t="s">
        <v>103</v>
      </c>
      <c r="H48" s="95"/>
      <c r="I48" s="95" t="s">
        <v>25</v>
      </c>
      <c r="J48" s="23"/>
      <c r="K48" s="128"/>
      <c r="L48" s="128"/>
      <c r="M48" s="128"/>
      <c r="N48" s="128"/>
      <c r="O48" s="128"/>
      <c r="P48" s="128"/>
      <c r="Q48" s="128">
        <f t="shared" si="0"/>
        <v>0</v>
      </c>
      <c r="R48" s="128">
        <f t="shared" si="1"/>
        <v>0</v>
      </c>
      <c r="S48" s="128">
        <f t="shared" si="2"/>
        <v>0</v>
      </c>
      <c r="T48" s="128" t="s">
        <v>1277</v>
      </c>
    </row>
    <row r="49" spans="1:20">
      <c r="A49" s="2">
        <v>48</v>
      </c>
      <c r="B49" s="128"/>
      <c r="C49" s="23" t="s">
        <v>53</v>
      </c>
      <c r="D49" s="23" t="s">
        <v>991</v>
      </c>
      <c r="E49" s="23"/>
      <c r="F49" s="23" t="s">
        <v>168</v>
      </c>
      <c r="G49" s="23" t="s">
        <v>79</v>
      </c>
      <c r="H49" s="23"/>
      <c r="I49" s="23" t="s">
        <v>25</v>
      </c>
      <c r="J49" s="23"/>
      <c r="K49" s="128"/>
      <c r="L49" s="128"/>
      <c r="M49" s="128"/>
      <c r="N49" s="128"/>
      <c r="O49" s="23"/>
      <c r="P49" s="128"/>
      <c r="Q49" s="128">
        <f t="shared" si="0"/>
        <v>0</v>
      </c>
      <c r="R49" s="128">
        <f t="shared" si="1"/>
        <v>0</v>
      </c>
      <c r="S49" s="128">
        <f t="shared" si="2"/>
        <v>0</v>
      </c>
      <c r="T49" s="128" t="s">
        <v>1277</v>
      </c>
    </row>
    <row r="50" spans="1:20">
      <c r="A50" s="158"/>
      <c r="B50" s="158"/>
      <c r="C50" s="115"/>
      <c r="D50" s="115"/>
      <c r="E50" s="4"/>
      <c r="F50" s="4"/>
      <c r="G50" s="115"/>
      <c r="H50" s="4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</row>
    <row r="183" spans="15:15">
      <c r="O183" s="130">
        <f>SUM(O6:O45)</f>
        <v>2617.75</v>
      </c>
    </row>
  </sheetData>
  <sortState ref="A2:U49">
    <sortCondition ref="U2:U49"/>
    <sortCondition descending="1" ref="S2:S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تحقیق</vt:lpstr>
      <vt:lpstr>ترتیل</vt:lpstr>
      <vt:lpstr>اذان</vt:lpstr>
      <vt:lpstr>دعاخوانی</vt:lpstr>
      <vt:lpstr>مداحی</vt:lpstr>
      <vt:lpstr>ترجمه خوانی</vt:lpstr>
      <vt:lpstr>سخنوری</vt:lpstr>
      <vt:lpstr>حفظ 1 جزء</vt:lpstr>
      <vt:lpstr>حفظ 3 جزء</vt:lpstr>
      <vt:lpstr>حفظ 5 جزء</vt:lpstr>
      <vt:lpstr>حفظ 10 جزء</vt:lpstr>
      <vt:lpstr>حفظ 20 جزء</vt:lpstr>
      <vt:lpstr>آیات منتخب</vt:lpstr>
      <vt:lpstr>حفظ کل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</dc:creator>
  <cp:lastModifiedBy>rajaee_s</cp:lastModifiedBy>
  <dcterms:created xsi:type="dcterms:W3CDTF">2024-05-03T21:17:59Z</dcterms:created>
  <dcterms:modified xsi:type="dcterms:W3CDTF">2026-08-19T06:04:08Z</dcterms:modified>
</cp:coreProperties>
</file>